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Salariés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Print_Area" localSheetId="0">'Tableau de bord'!$A$1:$H$45</definedName>
    <definedName name="_xlnm.Print_Area" localSheetId="1">'Salariés'!$A$1:$U$25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&quot; €&quot;"/>
    <numFmt numFmtId="167" formatCode="0.0"/>
    <numFmt numFmtId="168" formatCode="0.0%"/>
  </numFmts>
  <fonts count="21">
    <font>
      <name val="Calibri"/>
      <family val="2"/>
      <color theme="1"/>
      <sz val="11"/>
      <scheme val="minor"/>
    </font>
    <font>
      <name val="Arial"/>
      <b val="1"/>
      <color rgb="0012CC96"/>
      <sz val="18"/>
    </font>
    <font>
      <name val="Arial"/>
      <b val="1"/>
      <color rgb="00FFFFFF"/>
      <sz val="11"/>
    </font>
    <font>
      <name val="Arial"/>
      <color rgb="001B2B3A"/>
      <sz val="10"/>
    </font>
    <font>
      <name val="Arial"/>
      <b val="1"/>
      <color rgb="0012CC96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b val="1"/>
      <color rgb="001B2B3A"/>
      <sz val="16"/>
    </font>
    <font>
      <name val="Arial"/>
      <b val="1"/>
      <color rgb="001B2B3A"/>
      <sz val="8"/>
    </font>
    <font>
      <name val="Arial"/>
      <color rgb="0012CC96"/>
      <sz val="8"/>
    </font>
    <font>
      <name val="Arial"/>
      <color rgb="006B7280"/>
      <sz val="8"/>
    </font>
    <font>
      <name val="Arial"/>
      <b val="1"/>
      <color rgb="001B2B3A"/>
      <sz val="20"/>
    </font>
    <font>
      <name val="Arial"/>
      <b val="1"/>
      <color rgb="0012CC96"/>
      <sz val="11"/>
    </font>
    <font>
      <name val="Arial"/>
      <color rgb="006B7280"/>
      <sz val="9"/>
    </font>
    <font>
      <name val="Arial"/>
      <b val="1"/>
      <color rgb="006B7280"/>
      <sz val="9"/>
    </font>
    <font>
      <name val="Arial"/>
      <b val="1"/>
      <color rgb="001B2B3A"/>
      <sz val="18"/>
    </font>
    <font>
      <name val="Arial"/>
      <b val="1"/>
      <color rgb="0012CC96"/>
      <sz val="9"/>
    </font>
    <font>
      <name val="Arial"/>
      <color rgb="001B2B3A"/>
      <sz val="9"/>
    </font>
    <font>
      <name val="Arial"/>
      <b val="1"/>
      <color rgb="001B2B3A"/>
      <sz val="9"/>
    </font>
    <font>
      <name val="Arial"/>
      <i val="1"/>
      <color rgb="006B7280"/>
      <sz val="8"/>
    </font>
    <font>
      <name val="Arial"/>
      <b val="1"/>
      <color rgb="001B2B3A"/>
      <sz val="11"/>
    </font>
  </fonts>
  <fills count="6">
    <fill>
      <patternFill/>
    </fill>
    <fill>
      <patternFill patternType="gray125"/>
    </fill>
    <fill>
      <patternFill patternType="solid">
        <fgColor rgb="001B2B3A"/>
        <bgColor rgb="001B2B3A"/>
      </patternFill>
    </fill>
    <fill>
      <patternFill patternType="solid">
        <fgColor rgb="00D9EDDF"/>
        <bgColor rgb="00D9EDDF"/>
      </patternFill>
    </fill>
    <fill>
      <patternFill patternType="solid">
        <fgColor rgb="00E5E7EB"/>
        <bgColor rgb="00E5E7EB"/>
      </patternFill>
    </fill>
    <fill>
      <patternFill patternType="solid">
        <fgColor rgb="00F3F4F6"/>
        <bgColor rgb="00F3F4F6"/>
      </patternFill>
    </fill>
  </fills>
  <borders count="5">
    <border>
      <left/>
      <right/>
      <top/>
      <bottom/>
      <diagonal/>
    </border>
    <border>
      <bottom style="thin">
        <color rgb="00D1D5DB"/>
      </bottom>
    </border>
    <border>
      <top style="thin">
        <color rgb="0012CC96"/>
      </top>
      <bottom style="thin">
        <color rgb="0012CC96"/>
      </bottom>
    </border>
    <border>
      <left style="thin">
        <color rgb="00D9EDDF"/>
      </left>
      <right style="thin">
        <color rgb="00D9EDDF"/>
      </right>
      <top style="thin">
        <color rgb="00D9EDDF"/>
      </top>
      <bottom style="thin">
        <color rgb="00D9EDDF"/>
      </bottom>
    </border>
    <border>
      <top style="thin">
        <color rgb="00D1D5DB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3" borderId="0" applyAlignment="1" pivotButton="0" quotePrefix="0" xfId="0">
      <alignment horizontal="center" vertical="center" wrapText="1"/>
    </xf>
    <xf numFmtId="1" fontId="15" fillId="0" borderId="3" applyAlignment="1" pivotButton="0" quotePrefix="0" xfId="0">
      <alignment horizontal="center" vertical="center" wrapText="1"/>
    </xf>
    <xf numFmtId="167" fontId="15" fillId="0" borderId="3" applyAlignment="1" pivotButton="0" quotePrefix="0" xfId="0">
      <alignment horizontal="center" vertical="center" wrapText="1"/>
    </xf>
    <xf numFmtId="49" fontId="15" fillId="0" borderId="3" applyAlignment="1" pivotButton="0" quotePrefix="0" xfId="0">
      <alignment horizontal="center" vertical="center" wrapText="1"/>
    </xf>
    <xf numFmtId="168" fontId="15" fillId="0" borderId="3" applyAlignment="1" pivotButton="0" quotePrefix="0" xfId="0">
      <alignment horizontal="center" vertical="center" wrapText="1"/>
    </xf>
    <xf numFmtId="166" fontId="15" fillId="0" borderId="3" applyAlignment="1" pivotButton="0" quotePrefix="0" xfId="0">
      <alignment horizontal="center" vertical="center" wrapText="1"/>
    </xf>
    <xf numFmtId="0" fontId="16" fillId="0" borderId="0" pivotButton="0" quotePrefix="0" xfId="0"/>
    <xf numFmtId="0" fontId="8" fillId="3" borderId="2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17" fillId="0" borderId="1" applyAlignment="1" pivotButton="0" quotePrefix="0" xfId="0">
      <alignment horizontal="left" vertical="center" wrapText="1"/>
    </xf>
    <xf numFmtId="1" fontId="1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left" vertical="center" wrapText="1"/>
    </xf>
    <xf numFmtId="167" fontId="18" fillId="0" borderId="1" applyAlignment="1" pivotButton="0" quotePrefix="0" xfId="0">
      <alignment horizontal="center" vertical="center" wrapText="1"/>
    </xf>
    <xf numFmtId="168" fontId="18" fillId="0" borderId="1" applyAlignment="1" pivotButton="0" quotePrefix="0" xfId="0">
      <alignment horizontal="center" vertical="center" wrapText="1"/>
    </xf>
    <xf numFmtId="9" fontId="18" fillId="0" borderId="1" applyAlignment="1" pivotButton="0" quotePrefix="0" xfId="0">
      <alignment horizontal="center" vertical="center" wrapText="1"/>
    </xf>
    <xf numFmtId="166" fontId="18" fillId="0" borderId="1" applyAlignment="1" pivotButton="0" quotePrefix="0" xfId="0">
      <alignment horizontal="center" vertical="center" wrapText="1"/>
    </xf>
    <xf numFmtId="166" fontId="17" fillId="0" borderId="1" applyAlignment="1" pivotButton="0" quotePrefix="0" xfId="0">
      <alignment horizontal="left" vertical="center" wrapText="1"/>
    </xf>
    <xf numFmtId="9" fontId="17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0" fontId="19" fillId="0" borderId="4" applyAlignment="1" pivotButton="0" quotePrefix="0" xfId="0">
      <alignment horizontal="center" vertical="center" wrapText="1"/>
    </xf>
    <xf numFmtId="0" fontId="7" fillId="0" borderId="0" pivotButton="0" quotePrefix="0" xfId="0"/>
    <xf numFmtId="0" fontId="5" fillId="0" borderId="0" pivotButton="0" quotePrefix="0" xfId="0"/>
    <xf numFmtId="0" fontId="8" fillId="4" borderId="2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165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9" fontId="9" fillId="0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center" vertical="center" wrapText="1"/>
    </xf>
    <xf numFmtId="1" fontId="9" fillId="0" borderId="1" applyAlignment="1" pivotButton="0" quotePrefix="0" xfId="0">
      <alignment horizontal="center" vertical="center" wrapText="1"/>
    </xf>
    <xf numFmtId="1" fontId="10" fillId="5" borderId="1" applyAlignment="1" pivotButton="0" quotePrefix="0" xfId="0">
      <alignment horizontal="center" vertical="center" wrapText="1"/>
    </xf>
    <xf numFmtId="167" fontId="10" fillId="5" borderId="1" applyAlignment="1" pivotButton="0" quotePrefix="0" xfId="0">
      <alignment horizontal="center" vertical="center" wrapText="1"/>
    </xf>
    <xf numFmtId="166" fontId="10" fillId="5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0" pivotButton="0" quotePrefix="0" xfId="0"/>
    <xf numFmtId="0" fontId="3" fillId="0" borderId="0" pivotButton="0" quotePrefix="0" xfId="0"/>
    <xf numFmtId="0" fontId="20" fillId="0" borderId="0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5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26" customWidth="1" min="2" max="2"/>
    <col width="14" customWidth="1" min="3" max="3"/>
    <col width="3" customWidth="1" min="4" max="4"/>
    <col width="26" customWidth="1" min="5" max="5"/>
    <col width="14" customWidth="1" min="6" max="6"/>
    <col width="3" customWidth="1" min="7" max="7"/>
    <col width="1.5" customWidth="1" min="8" max="8"/>
  </cols>
  <sheetData>
    <row r="2">
      <c r="B2" s="1" t="inlineStr">
        <is>
          <t>TABLEAU DE BORD RH</t>
        </is>
      </c>
    </row>
    <row r="3">
      <c r="B3" s="2">
        <f>Paramètres!$C$5</f>
        <v/>
      </c>
    </row>
    <row r="4">
      <c r="B4" s="3">
        <f>"Période du "&amp;DAY(Paramètres!$C$6)&amp;"/"&amp;MONTH(Paramètres!$C$6)&amp;"/"&amp;YEAR(Paramètres!$C$6)&amp;" au "&amp;DAY(Paramètres!$C$7)&amp;"/"&amp;MONTH(Paramètres!$C$7)&amp;"/"&amp;YEAR(Paramètres!$C$7)</f>
        <v/>
      </c>
    </row>
    <row r="6">
      <c r="B6" s="4" t="inlineStr">
        <is>
          <t>Effectif à la fin</t>
        </is>
      </c>
      <c r="E6" s="4" t="inlineStr">
        <is>
          <t>Équivalents temps plein</t>
        </is>
      </c>
    </row>
    <row r="7" ht="32" customHeight="1">
      <c r="B7" s="5">
        <f>SUM(Salariés!$P$6:$P$25)</f>
        <v/>
      </c>
      <c r="E7" s="6">
        <f>SUMPRODUCT(Salariés!$H$6:$H$25,Salariés!$P$6:$P$25)</f>
        <v/>
      </c>
    </row>
    <row r="9">
      <c r="B9" s="4" t="inlineStr">
        <is>
          <t>Entrées / sorties</t>
        </is>
      </c>
      <c r="E9" s="4" t="inlineStr">
        <is>
          <t>Taux de turnover</t>
        </is>
      </c>
    </row>
    <row r="10" ht="32" customHeight="1">
      <c r="B10" s="7">
        <f>COUNTIFS(Salariés!$I$6:$I$25,"&gt;="&amp;Paramètres!$C$6,Salariés!$I$6:$I$25,"&lt;="&amp;Paramètres!$C$7)&amp;" / "&amp;COUNTIFS(Salariés!$J$6:$J$25,"&gt;="&amp;Paramètres!$C$6,Salariés!$J$6:$J$25,"&lt;="&amp;Paramètres!$C$7)</f>
        <v/>
      </c>
      <c r="E10" s="8">
        <f>IF(SUM(Salariés!$O$6:$O$25)=0,0,((COUNTIFS(Salariés!$I$6:$I$25,"&gt;="&amp;Paramètres!$C$6,Salariés!$I$6:$I$25,"&lt;="&amp;Paramètres!$C$7))+(COUNTIFS(Salariés!$J$6:$J$25,"&gt;="&amp;Paramètres!$C$6,Salariés!$J$6:$J$25,"&lt;="&amp;Paramètres!$C$7)))/2/SUM(Salariés!$O$6:$O$25))</f>
        <v/>
      </c>
    </row>
    <row r="12">
      <c r="B12" s="4" t="inlineStr">
        <is>
          <t>Taux d'absentéisme</t>
        </is>
      </c>
      <c r="E12" s="4" t="inlineStr">
        <is>
          <t>Ancienneté moyenne (ans)</t>
        </is>
      </c>
    </row>
    <row r="13" ht="32" customHeight="1">
      <c r="B13" s="8">
        <f>IF(SUM(Salariés!$R$6:$R$25)=0,0,SUM(Salariés!$M$6:$M$25)/SUM(Salariés!$R$6:$R$25))</f>
        <v/>
      </c>
      <c r="E13" s="6">
        <f>IF(SUM(Salariés!$P$6:$P$25)=0,0,AVERAGE(Salariés!$T$6:$T$25))</f>
        <v/>
      </c>
    </row>
    <row r="15">
      <c r="B15" s="4" t="inlineStr">
        <is>
          <t>Masse salariale brute</t>
        </is>
      </c>
      <c r="E15" s="4" t="inlineStr">
        <is>
          <t>Heures de formation</t>
        </is>
      </c>
    </row>
    <row r="16" ht="32" customHeight="1">
      <c r="B16" s="9">
        <f>SUM(Salariés!$S$6:$S$25)</f>
        <v/>
      </c>
      <c r="E16" s="5">
        <f>SUM(Salariés!$N$6:$N$25)</f>
        <v/>
      </c>
    </row>
    <row r="19">
      <c r="B19" s="10" t="inlineStr">
        <is>
          <t>LES INDICATEURS ET LEUR FORMULE</t>
        </is>
      </c>
    </row>
    <row r="20">
      <c r="B20" s="11" t="inlineStr">
        <is>
          <t>Indicateur</t>
        </is>
      </c>
      <c r="C20" s="12" t="inlineStr">
        <is>
          <t>Valeur</t>
        </is>
      </c>
      <c r="D20" s="13" t="n"/>
      <c r="E20" s="11" t="inlineStr">
        <is>
          <t>Comment il se calcule</t>
        </is>
      </c>
      <c r="F20" s="13" t="n"/>
    </row>
    <row r="21" ht="22" customHeight="1">
      <c r="B21" s="14" t="inlineStr">
        <is>
          <t>Effectif au début de la période</t>
        </is>
      </c>
      <c r="C21" s="15">
        <f>SUM(Salariés!$O$6:$O$25)</f>
        <v/>
      </c>
      <c r="D21" s="16" t="n"/>
      <c r="E21" s="17" t="inlineStr">
        <is>
          <t>Salariés présents au premier jour de la période.</t>
        </is>
      </c>
      <c r="F21" s="16" t="n"/>
      <c r="G21" s="16" t="n"/>
    </row>
    <row r="22" ht="22" customHeight="1">
      <c r="B22" s="14" t="inlineStr">
        <is>
          <t>Effectif à la fin de la période</t>
        </is>
      </c>
      <c r="C22" s="15">
        <f>SUM(Salariés!$P$6:$P$25)</f>
        <v/>
      </c>
      <c r="D22" s="16" t="n"/>
      <c r="E22" s="17" t="inlineStr">
        <is>
          <t>Salariés présents à la date d'arrêté.</t>
        </is>
      </c>
      <c r="F22" s="16" t="n"/>
      <c r="G22" s="16" t="n"/>
    </row>
    <row r="23" ht="22" customHeight="1">
      <c r="B23" s="14" t="inlineStr">
        <is>
          <t>Effectif moyen</t>
        </is>
      </c>
      <c r="C23" s="18">
        <f>(SUM(Salariés!$O$6:$O$25)+SUM(Salariés!$P$6:$P$25))/2</f>
        <v/>
      </c>
      <c r="D23" s="16" t="n"/>
      <c r="E23" s="17" t="inlineStr">
        <is>
          <t>(Effectif début + effectif fin) ÷ 2.</t>
        </is>
      </c>
      <c r="F23" s="16" t="n"/>
      <c r="G23" s="16" t="n"/>
    </row>
    <row r="24" ht="22" customHeight="1">
      <c r="B24" s="14" t="inlineStr">
        <is>
          <t>Entrées</t>
        </is>
      </c>
      <c r="C24" s="15">
        <f>COUNTIFS(Salariés!$I$6:$I$25,"&gt;="&amp;Paramètres!$C$6,Salariés!$I$6:$I$25,"&lt;="&amp;Paramètres!$C$7)</f>
        <v/>
      </c>
      <c r="D24" s="16" t="n"/>
      <c r="E24" s="17" t="inlineStr">
        <is>
          <t>Embauches dont la date d'entrée tombe dans la période.</t>
        </is>
      </c>
      <c r="F24" s="16" t="n"/>
      <c r="G24" s="16" t="n"/>
    </row>
    <row r="25" ht="22" customHeight="1">
      <c r="B25" s="14" t="inlineStr">
        <is>
          <t>Sorties</t>
        </is>
      </c>
      <c r="C25" s="15">
        <f>COUNTIFS(Salariés!$J$6:$J$25,"&gt;="&amp;Paramètres!$C$6,Salariés!$J$6:$J$25,"&lt;="&amp;Paramètres!$C$7)</f>
        <v/>
      </c>
      <c r="D25" s="16" t="n"/>
      <c r="E25" s="17" t="inlineStr">
        <is>
          <t>Départs dont la date de sortie tombe dans la période.</t>
        </is>
      </c>
      <c r="F25" s="16" t="n"/>
      <c r="G25" s="16" t="n"/>
    </row>
    <row r="26" ht="22" customHeight="1">
      <c r="B26" s="14" t="inlineStr">
        <is>
          <t>Taux de turnover</t>
        </is>
      </c>
      <c r="C26" s="19">
        <f>IF(SUM(Salariés!$O$6:$O$25)=0,0,((COUNTIFS(Salariés!$I$6:$I$25,"&gt;="&amp;Paramètres!$C$6,Salariés!$I$6:$I$25,"&lt;="&amp;Paramètres!$C$7))+(COUNTIFS(Salariés!$J$6:$J$25,"&gt;="&amp;Paramètres!$C$6,Salariés!$J$6:$J$25,"&lt;="&amp;Paramètres!$C$7)))/2/SUM(Salariés!$O$6:$O$25))</f>
        <v/>
      </c>
      <c r="D26" s="16" t="n"/>
      <c r="E26" s="17" t="inlineStr">
        <is>
          <t>((Entrées + sorties) ÷ 2) ÷ effectif au début.</t>
        </is>
      </c>
      <c r="F26" s="16" t="n"/>
      <c r="G26" s="16" t="n"/>
    </row>
    <row r="27" ht="22" customHeight="1">
      <c r="B27" s="14" t="inlineStr">
        <is>
          <t>Taux de sortie</t>
        </is>
      </c>
      <c r="C27" s="19">
        <f>IF((SUM(Salariés!$O$6:$O$25)+SUM(Salariés!$P$6:$P$25))=0,0,COUNTIFS(Salariés!$J$6:$J$25,"&gt;="&amp;Paramètres!$C$6,Salariés!$J$6:$J$25,"&lt;="&amp;Paramètres!$C$7)/((SUM(Salariés!$O$6:$O$25)+SUM(Salariés!$P$6:$P$25))/2))</f>
        <v/>
      </c>
      <c r="D27" s="16" t="n"/>
      <c r="E27" s="17" t="inlineStr">
        <is>
          <t>Sorties ÷ effectif moyen.</t>
        </is>
      </c>
      <c r="F27" s="16" t="n"/>
      <c r="G27" s="16" t="n"/>
    </row>
    <row r="28" ht="22" customHeight="1">
      <c r="B28" s="14" t="inlineStr">
        <is>
          <t>Taux d'absentéisme</t>
        </is>
      </c>
      <c r="C28" s="19">
        <f>IF(SUM(Salariés!$R$6:$R$25)=0,0,SUM(Salariés!$M$6:$M$25)/SUM(Salariés!$R$6:$R$25))</f>
        <v/>
      </c>
      <c r="D28" s="16" t="n"/>
      <c r="E28" s="17" t="inlineStr">
        <is>
          <t>Jours d'absence ÷ jours théoriques (temps de travail et présence pris en compte).</t>
        </is>
      </c>
      <c r="F28" s="16" t="n"/>
      <c r="G28" s="16" t="n"/>
    </row>
    <row r="29" ht="22" customHeight="1">
      <c r="B29" s="14" t="inlineStr">
        <is>
          <t>Ancienneté moyenne (ans)</t>
        </is>
      </c>
      <c r="C29" s="18">
        <f>IF(SUM(Salariés!$P$6:$P$25)=0,0,AVERAGE(Salariés!$T$6:$T$25))</f>
        <v/>
      </c>
      <c r="D29" s="16" t="n"/>
      <c r="E29" s="17" t="inlineStr">
        <is>
          <t>Moyenne des anciennetés des présents à la date d'arrêté.</t>
        </is>
      </c>
      <c r="F29" s="16" t="n"/>
      <c r="G29" s="16" t="n"/>
    </row>
    <row r="30" ht="22" customHeight="1">
      <c r="B30" s="14" t="inlineStr">
        <is>
          <t>Âge moyen (ans)</t>
        </is>
      </c>
      <c r="C30" s="18">
        <f>IF(SUM(Salariés!$P$6:$P$25)=0,0,AVERAGE(Salariés!$U$6:$U$25))</f>
        <v/>
      </c>
      <c r="D30" s="16" t="n"/>
      <c r="E30" s="17" t="inlineStr">
        <is>
          <t>Moyenne des âges des présents à la date d'arrêté.</t>
        </is>
      </c>
      <c r="F30" s="16" t="n"/>
      <c r="G30" s="16" t="n"/>
    </row>
    <row r="31" ht="22" customHeight="1">
      <c r="B31" s="14" t="inlineStr">
        <is>
          <t>Part des femmes</t>
        </is>
      </c>
      <c r="C31" s="20">
        <f>IF(SUM(Salariés!$P$6:$P$25)=0,0,COUNTIFS(Salariés!$C$6:$C$25,"F",Salariés!$P$6:$P$25,1)/SUM(Salariés!$P$6:$P$25))</f>
        <v/>
      </c>
      <c r="D31" s="16" t="n"/>
      <c r="E31" s="17" t="inlineStr">
        <is>
          <t>Femmes présentes ÷ effectif à la fin.</t>
        </is>
      </c>
      <c r="F31" s="16" t="n"/>
      <c r="G31" s="16" t="n"/>
    </row>
    <row r="32" ht="22" customHeight="1">
      <c r="B32" s="14" t="inlineStr">
        <is>
          <t>Part des CDI</t>
        </is>
      </c>
      <c r="C32" s="20">
        <f>IF(SUM(Salariés!$P$6:$P$25)=0,0,COUNTIFS(Salariés!$G$6:$G$25,"CDI",Salariés!$P$6:$P$25,1)/SUM(Salariés!$P$6:$P$25))</f>
        <v/>
      </c>
      <c r="D32" s="16" t="n"/>
      <c r="E32" s="17" t="inlineStr">
        <is>
          <t>Salariés en CDI ÷ effectif à la fin.</t>
        </is>
      </c>
      <c r="F32" s="16" t="n"/>
      <c r="G32" s="16" t="n"/>
    </row>
    <row r="33" ht="22" customHeight="1">
      <c r="B33" s="14" t="inlineStr">
        <is>
          <t>Masse salariale brute</t>
        </is>
      </c>
      <c r="C33" s="21">
        <f>SUM(Salariés!$S$6:$S$25)</f>
        <v/>
      </c>
      <c r="D33" s="16" t="n"/>
      <c r="E33" s="17" t="inlineStr">
        <is>
          <t>Brut mensuel × 12 × jours de présence ÷ 365, additionné.</t>
        </is>
      </c>
      <c r="F33" s="16" t="n"/>
      <c r="G33" s="16" t="n"/>
    </row>
    <row r="34" ht="22" customHeight="1">
      <c r="B34" s="14" t="inlineStr">
        <is>
          <t>Salaire brut moyen (ETP)</t>
        </is>
      </c>
      <c r="C34" s="21">
        <f>IF(SUMPRODUCT(Salariés!$H$6:$H$25,Salariés!$P$6:$P$25)=0,0,SUMPRODUCT(Salariés!$L$6:$L$25,Salariés!$P$6:$P$25)/SUMPRODUCT(Salariés!$H$6:$H$25,Salariés!$P$6:$P$25))</f>
        <v/>
      </c>
      <c r="D34" s="16" t="n"/>
      <c r="E34" s="17" t="inlineStr">
        <is>
          <t>Brut mensuel des présents ÷ équivalents temps plein.</t>
        </is>
      </c>
      <c r="F34" s="16" t="n"/>
      <c r="G34" s="16" t="n"/>
    </row>
    <row r="35" ht="22" customHeight="1">
      <c r="B35" s="14" t="inlineStr">
        <is>
          <t>Heures de formation par salarié</t>
        </is>
      </c>
      <c r="C35" s="18">
        <f>IF(COUNTIF(Salariés!$Q$6:$Q$25,"&gt;0")=0,0,SUM(Salariés!$N$6:$N$25)/COUNTIF(Salariés!$Q$6:$Q$25,"&gt;0"))</f>
        <v/>
      </c>
      <c r="D35" s="16" t="n"/>
      <c r="E35" s="17" t="inlineStr">
        <is>
          <t>Heures de formation ÷ salariés présents dans la période.</t>
        </is>
      </c>
      <c r="F35" s="16" t="n"/>
      <c r="G35" s="16" t="n"/>
    </row>
    <row r="36" ht="22" customHeight="1">
      <c r="B36" s="14" t="inlineStr">
        <is>
          <t>Part des salariés formés</t>
        </is>
      </c>
      <c r="C36" s="20">
        <f>IF(COUNTIF(Salariés!$Q$6:$Q$25,"&gt;0")=0,0,COUNTIFS(Salariés!$N$6:$N$25,"&gt;0",Salariés!$Q$6:$Q$25,"&gt;0")/COUNTIF(Salariés!$Q$6:$Q$25,"&gt;0"))</f>
        <v/>
      </c>
      <c r="D36" s="16" t="n"/>
      <c r="E36" s="17" t="inlineStr">
        <is>
          <t>Salariés ayant suivi au moins une heure de formation ÷ salariés présents.</t>
        </is>
      </c>
      <c r="F36" s="16" t="n"/>
      <c r="G36" s="16" t="n"/>
    </row>
    <row r="38">
      <c r="B38" s="10" t="inlineStr">
        <is>
          <t>RÉPARTITION PAR SERVICE (EFFECTIF À LA FIN)</t>
        </is>
      </c>
    </row>
    <row r="39">
      <c r="B39" s="11" t="inlineStr">
        <is>
          <t>Service</t>
        </is>
      </c>
      <c r="C39" s="12" t="inlineStr">
        <is>
          <t>Effectif</t>
        </is>
      </c>
      <c r="D39" s="13" t="n"/>
      <c r="E39" s="11" t="inlineStr">
        <is>
          <t>Masse salariale de la période</t>
        </is>
      </c>
      <c r="F39" s="12" t="inlineStr">
        <is>
          <t>Poids</t>
        </is>
      </c>
      <c r="G39" s="13" t="n"/>
    </row>
    <row r="40">
      <c r="B40" s="14">
        <f>Paramètres!$E$5</f>
        <v/>
      </c>
      <c r="C40" s="15">
        <f>COUNTIFS(Salariés!$E$6:$E$25,B40,Salariés!$P$6:$P$25,1)</f>
        <v/>
      </c>
      <c r="D40" s="16" t="n"/>
      <c r="E40" s="22">
        <f>SUMIFS(Salariés!$S$6:$S$25,Salariés!$E$6:$E$25,B40)</f>
        <v/>
      </c>
      <c r="F40" s="23">
        <f>IF(SUM(Salariés!$S$6:$S$25)=0,0,E40/SUM(Salariés!$S$6:$S$25))</f>
        <v/>
      </c>
      <c r="G40" s="24">
        <f>REPT("|",ROUND(F40*40,0))</f>
        <v/>
      </c>
    </row>
    <row r="41">
      <c r="B41" s="14">
        <f>Paramètres!$E$6</f>
        <v/>
      </c>
      <c r="C41" s="15">
        <f>COUNTIFS(Salariés!$E$6:$E$25,B41,Salariés!$P$6:$P$25,1)</f>
        <v/>
      </c>
      <c r="D41" s="16" t="n"/>
      <c r="E41" s="22">
        <f>SUMIFS(Salariés!$S$6:$S$25,Salariés!$E$6:$E$25,B41)</f>
        <v/>
      </c>
      <c r="F41" s="23">
        <f>IF(SUM(Salariés!$S$6:$S$25)=0,0,E41/SUM(Salariés!$S$6:$S$25))</f>
        <v/>
      </c>
      <c r="G41" s="24">
        <f>REPT("|",ROUND(F41*40,0))</f>
        <v/>
      </c>
    </row>
    <row r="42">
      <c r="B42" s="14">
        <f>Paramètres!$E$7</f>
        <v/>
      </c>
      <c r="C42" s="15">
        <f>COUNTIFS(Salariés!$E$6:$E$25,B42,Salariés!$P$6:$P$25,1)</f>
        <v/>
      </c>
      <c r="D42" s="16" t="n"/>
      <c r="E42" s="22">
        <f>SUMIFS(Salariés!$S$6:$S$25,Salariés!$E$6:$E$25,B42)</f>
        <v/>
      </c>
      <c r="F42" s="23">
        <f>IF(SUM(Salariés!$S$6:$S$25)=0,0,E42/SUM(Salariés!$S$6:$S$25))</f>
        <v/>
      </c>
      <c r="G42" s="24">
        <f>REPT("|",ROUND(F42*40,0))</f>
        <v/>
      </c>
    </row>
    <row r="43">
      <c r="B43" s="14">
        <f>Paramètres!$E$8</f>
        <v/>
      </c>
      <c r="C43" s="15">
        <f>COUNTIFS(Salariés!$E$6:$E$25,B43,Salariés!$P$6:$P$25,1)</f>
        <v/>
      </c>
      <c r="D43" s="16" t="n"/>
      <c r="E43" s="22">
        <f>SUMIFS(Salariés!$S$6:$S$25,Salariés!$E$6:$E$25,B43)</f>
        <v/>
      </c>
      <c r="F43" s="23">
        <f>IF(SUM(Salariés!$S$6:$S$25)=0,0,E43/SUM(Salariés!$S$6:$S$25))</f>
        <v/>
      </c>
      <c r="G43" s="24">
        <f>REPT("|",ROUND(F43*40,0))</f>
        <v/>
      </c>
    </row>
    <row r="45">
      <c r="B45" s="25" t="inlineStr">
        <is>
          <t>Données issues de la feuille « Salariés ». Modèle gratuit Digitiz · digitiz.fr/modeles/tableau-de-bord-rh/</t>
        </is>
      </c>
    </row>
  </sheetData>
  <mergeCells count="35">
    <mergeCell ref="B4:F4"/>
    <mergeCell ref="E12:F12"/>
    <mergeCell ref="E28:G28"/>
    <mergeCell ref="B16:C16"/>
    <mergeCell ref="B7:C7"/>
    <mergeCell ref="B3:F3"/>
    <mergeCell ref="E31:G31"/>
    <mergeCell ref="E34:G34"/>
    <mergeCell ref="E30:G30"/>
    <mergeCell ref="B12:C12"/>
    <mergeCell ref="E36:G36"/>
    <mergeCell ref="E10:F10"/>
    <mergeCell ref="E27:G27"/>
    <mergeCell ref="E26:G26"/>
    <mergeCell ref="E13:F13"/>
    <mergeCell ref="E9:F9"/>
    <mergeCell ref="E25:G25"/>
    <mergeCell ref="B13:C13"/>
    <mergeCell ref="E32:G32"/>
    <mergeCell ref="E6:F6"/>
    <mergeCell ref="E22:G22"/>
    <mergeCell ref="E15:F15"/>
    <mergeCell ref="B45:G45"/>
    <mergeCell ref="B10:C10"/>
    <mergeCell ref="E21:G21"/>
    <mergeCell ref="B9:C9"/>
    <mergeCell ref="B6:C6"/>
    <mergeCell ref="E24:G24"/>
    <mergeCell ref="B15:C15"/>
    <mergeCell ref="E16:F16"/>
    <mergeCell ref="E33:G33"/>
    <mergeCell ref="E7:F7"/>
    <mergeCell ref="E23:G23"/>
    <mergeCell ref="E35:G35"/>
    <mergeCell ref="E29:G29"/>
  </mergeCells>
  <printOptions horizontalCentered="1"/>
  <pageMargins left="0.5" right="0.5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U2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18" customWidth="1" min="2" max="2"/>
    <col width="6" customWidth="1" min="3" max="3"/>
    <col width="11" customWidth="1" min="4" max="4"/>
    <col width="13" customWidth="1" min="5" max="5"/>
    <col width="22" customWidth="1" min="6" max="6"/>
    <col width="10" customWidth="1" min="7" max="7"/>
    <col width="9" customWidth="1" min="8" max="8"/>
    <col width="11" customWidth="1" min="9" max="9"/>
    <col width="11" customWidth="1" min="10" max="10"/>
    <col width="20" customWidth="1" min="11" max="11"/>
    <col width="11" customWidth="1" min="12" max="12"/>
    <col width="9" customWidth="1" min="13" max="13"/>
    <col width="10" customWidth="1" min="14" max="14"/>
    <col width="8" customWidth="1" min="15" max="15"/>
    <col width="8" customWidth="1" min="16" max="16"/>
    <col width="9" customWidth="1" min="17" max="17"/>
    <col width="10" customWidth="1" min="18" max="18"/>
    <col width="12" customWidth="1" min="19" max="19"/>
    <col width="10" customWidth="1" min="20" max="20"/>
    <col width="6" customWidth="1" min="21" max="21"/>
  </cols>
  <sheetData>
    <row r="2">
      <c r="B2" s="26" t="inlineStr">
        <is>
          <t>REGISTRE DES SALARIÉS</t>
        </is>
      </c>
    </row>
    <row r="3">
      <c r="B3" s="27" t="inlineStr">
        <is>
          <t>Saisie en vert ; les colonnes grises se calculent. Une ligne par contrat, sorties comprises.</t>
        </is>
      </c>
    </row>
    <row r="5" ht="30" customHeight="1">
      <c r="B5" s="12" t="inlineStr">
        <is>
          <t>Nom</t>
        </is>
      </c>
      <c r="C5" s="12" t="inlineStr">
        <is>
          <t>Sexe</t>
        </is>
      </c>
      <c r="D5" s="12" t="inlineStr">
        <is>
          <t>Naissance</t>
        </is>
      </c>
      <c r="E5" s="12" t="inlineStr">
        <is>
          <t>Service</t>
        </is>
      </c>
      <c r="F5" s="12" t="inlineStr">
        <is>
          <t>Poste</t>
        </is>
      </c>
      <c r="G5" s="12" t="inlineStr">
        <is>
          <t>Contrat</t>
        </is>
      </c>
      <c r="H5" s="12" t="inlineStr">
        <is>
          <t>Temps (%)</t>
        </is>
      </c>
      <c r="I5" s="12" t="inlineStr">
        <is>
          <t>Entrée</t>
        </is>
      </c>
      <c r="J5" s="12" t="inlineStr">
        <is>
          <t>Sortie</t>
        </is>
      </c>
      <c r="K5" s="12" t="inlineStr">
        <is>
          <t>Motif de sortie</t>
        </is>
      </c>
      <c r="L5" s="12" t="inlineStr">
        <is>
          <t>Brut mensuel</t>
        </is>
      </c>
      <c r="M5" s="12" t="inlineStr">
        <is>
          <t>Jours d'absence</t>
        </is>
      </c>
      <c r="N5" s="12" t="inlineStr">
        <is>
          <t>Heures de formation</t>
        </is>
      </c>
      <c r="O5" s="28" t="inlineStr">
        <is>
          <t>Présent début</t>
        </is>
      </c>
      <c r="P5" s="28" t="inlineStr">
        <is>
          <t>Présent fin</t>
        </is>
      </c>
      <c r="Q5" s="28" t="inlineStr">
        <is>
          <t>Jours de présence</t>
        </is>
      </c>
      <c r="R5" s="28" t="inlineStr">
        <is>
          <t>Jours théoriques</t>
        </is>
      </c>
      <c r="S5" s="28" t="inlineStr">
        <is>
          <t>Masse salariale</t>
        </is>
      </c>
      <c r="T5" s="28" t="inlineStr">
        <is>
          <t>Ancienneté (ans)</t>
        </is>
      </c>
      <c r="U5" s="28" t="inlineStr">
        <is>
          <t>Âge</t>
        </is>
      </c>
    </row>
    <row r="6" ht="15" customHeight="1">
      <c r="B6" s="29" t="inlineStr">
        <is>
          <t>Claire Moreau</t>
        </is>
      </c>
      <c r="C6" s="30" t="inlineStr">
        <is>
          <t>F</t>
        </is>
      </c>
      <c r="D6" s="31" t="n">
        <v>28592</v>
      </c>
      <c r="E6" s="32" t="inlineStr">
        <is>
          <t>Direction</t>
        </is>
      </c>
      <c r="F6" s="32" t="inlineStr">
        <is>
          <t>Gérante</t>
        </is>
      </c>
      <c r="G6" s="30" t="inlineStr">
        <is>
          <t>CDI</t>
        </is>
      </c>
      <c r="H6" s="33" t="n">
        <v>1</v>
      </c>
      <c r="I6" s="31" t="n">
        <v>40969</v>
      </c>
      <c r="J6" s="31" t="n"/>
      <c r="K6" s="32" t="n"/>
      <c r="L6" s="34" t="n">
        <v>5200</v>
      </c>
      <c r="M6" s="35" t="n">
        <v>0</v>
      </c>
      <c r="N6" s="35" t="n">
        <v>7</v>
      </c>
      <c r="O6" s="36">
        <f>IF(OR(B6="",I6=""),"",IF(AND(I6&lt;=Paramètres!$C$6,OR(J6="",J6&gt;=Paramètres!$C$6)),1,0))</f>
        <v/>
      </c>
      <c r="P6" s="36">
        <f>IF(OR(B6="",I6=""),"",IF(AND(I6&lt;=Paramètres!$C$7,OR(J6="",J6&gt;Paramètres!$C$7)),1,0))</f>
        <v/>
      </c>
      <c r="Q6" s="36">
        <f>IF(OR(B6="",I6=""),"",MAX(0,IF(J6="",Paramètres!$C$7,MIN(J6,Paramètres!$C$7))-MAX(I6,Paramètres!$C$6)+1))</f>
        <v/>
      </c>
      <c r="R6" s="37">
        <f>IF(Q6="","",Paramètres!$C$8*H6*Q6/365)</f>
        <v/>
      </c>
      <c r="S6" s="38">
        <f>IF(Q6="","",L6*12*Q6/365)</f>
        <v/>
      </c>
      <c r="T6" s="37">
        <f>IF(P6=1,(Paramètres!$C$7-I6)/365.25,"")</f>
        <v/>
      </c>
      <c r="U6" s="36">
        <f>IF(AND(P6=1,D6&lt;&gt;""),DATEDIF(D6,Paramètres!$C$7,"y"),"")</f>
        <v/>
      </c>
    </row>
    <row r="7" ht="15" customHeight="1">
      <c r="B7" s="29" t="inlineStr">
        <is>
          <t>Julien Fabre</t>
        </is>
      </c>
      <c r="C7" s="30" t="inlineStr">
        <is>
          <t>H</t>
        </is>
      </c>
      <c r="D7" s="31" t="n">
        <v>31293</v>
      </c>
      <c r="E7" s="32" t="inlineStr">
        <is>
          <t>Commercial</t>
        </is>
      </c>
      <c r="F7" s="32" t="inlineStr">
        <is>
          <t>Responsable commercial</t>
        </is>
      </c>
      <c r="G7" s="30" t="inlineStr">
        <is>
          <t>CDI</t>
        </is>
      </c>
      <c r="H7" s="33" t="n">
        <v>1</v>
      </c>
      <c r="I7" s="31" t="n">
        <v>42373</v>
      </c>
      <c r="J7" s="31" t="n"/>
      <c r="K7" s="32" t="n"/>
      <c r="L7" s="34" t="n">
        <v>3600</v>
      </c>
      <c r="M7" s="35" t="n">
        <v>4</v>
      </c>
      <c r="N7" s="35" t="n">
        <v>14</v>
      </c>
      <c r="O7" s="36">
        <f>IF(OR(B7="",I7=""),"",IF(AND(I7&lt;=Paramètres!$C$6,OR(J7="",J7&gt;=Paramètres!$C$6)),1,0))</f>
        <v/>
      </c>
      <c r="P7" s="36">
        <f>IF(OR(B7="",I7=""),"",IF(AND(I7&lt;=Paramètres!$C$7,OR(J7="",J7&gt;Paramètres!$C$7)),1,0))</f>
        <v/>
      </c>
      <c r="Q7" s="36">
        <f>IF(OR(B7="",I7=""),"",MAX(0,IF(J7="",Paramètres!$C$7,MIN(J7,Paramètres!$C$7))-MAX(I7,Paramètres!$C$6)+1))</f>
        <v/>
      </c>
      <c r="R7" s="37">
        <f>IF(Q7="","",Paramètres!$C$8*H7*Q7/365)</f>
        <v/>
      </c>
      <c r="S7" s="38">
        <f>IF(Q7="","",L7*12*Q7/365)</f>
        <v/>
      </c>
      <c r="T7" s="37">
        <f>IF(P7=1,(Paramètres!$C$7-I7)/365.25,"")</f>
        <v/>
      </c>
      <c r="U7" s="36">
        <f>IF(AND(P7=1,D7&lt;&gt;""),DATEDIF(D7,Paramètres!$C$7,"y"),"")</f>
        <v/>
      </c>
    </row>
    <row r="8" ht="15" customHeight="1">
      <c r="B8" s="29" t="inlineStr">
        <is>
          <t>Nadia Haddad</t>
        </is>
      </c>
      <c r="C8" s="30" t="inlineStr">
        <is>
          <t>F</t>
        </is>
      </c>
      <c r="D8" s="31" t="n">
        <v>33654</v>
      </c>
      <c r="E8" s="32" t="inlineStr">
        <is>
          <t>Commercial</t>
        </is>
      </c>
      <c r="F8" s="32" t="inlineStr">
        <is>
          <t>Chargée d'affaires</t>
        </is>
      </c>
      <c r="G8" s="30" t="inlineStr">
        <is>
          <t>CDI</t>
        </is>
      </c>
      <c r="H8" s="33" t="n">
        <v>1</v>
      </c>
      <c r="I8" s="31" t="n">
        <v>43710</v>
      </c>
      <c r="J8" s="31" t="n"/>
      <c r="K8" s="32" t="n"/>
      <c r="L8" s="34" t="n">
        <v>2800</v>
      </c>
      <c r="M8" s="35" t="n">
        <v>12</v>
      </c>
      <c r="N8" s="35" t="n">
        <v>0</v>
      </c>
      <c r="O8" s="36">
        <f>IF(OR(B8="",I8=""),"",IF(AND(I8&lt;=Paramètres!$C$6,OR(J8="",J8&gt;=Paramètres!$C$6)),1,0))</f>
        <v/>
      </c>
      <c r="P8" s="36">
        <f>IF(OR(B8="",I8=""),"",IF(AND(I8&lt;=Paramètres!$C$7,OR(J8="",J8&gt;Paramètres!$C$7)),1,0))</f>
        <v/>
      </c>
      <c r="Q8" s="36">
        <f>IF(OR(B8="",I8=""),"",MAX(0,IF(J8="",Paramètres!$C$7,MIN(J8,Paramètres!$C$7))-MAX(I8,Paramètres!$C$6)+1))</f>
        <v/>
      </c>
      <c r="R8" s="37">
        <f>IF(Q8="","",Paramètres!$C$8*H8*Q8/365)</f>
        <v/>
      </c>
      <c r="S8" s="38">
        <f>IF(Q8="","",L8*12*Q8/365)</f>
        <v/>
      </c>
      <c r="T8" s="37">
        <f>IF(P8=1,(Paramètres!$C$7-I8)/365.25,"")</f>
        <v/>
      </c>
      <c r="U8" s="36">
        <f>IF(AND(P8=1,D8&lt;&gt;""),DATEDIF(D8,Paramètres!$C$7,"y"),"")</f>
        <v/>
      </c>
    </row>
    <row r="9" ht="15" customHeight="1">
      <c r="B9" s="29" t="inlineStr">
        <is>
          <t>Thomas Leroy</t>
        </is>
      </c>
      <c r="C9" s="30" t="inlineStr">
        <is>
          <t>H</t>
        </is>
      </c>
      <c r="D9" s="31" t="n">
        <v>32477</v>
      </c>
      <c r="E9" s="32" t="inlineStr">
        <is>
          <t>Production</t>
        </is>
      </c>
      <c r="F9" s="32" t="inlineStr">
        <is>
          <t>Chef de projet</t>
        </is>
      </c>
      <c r="G9" s="30" t="inlineStr">
        <is>
          <t>CDI</t>
        </is>
      </c>
      <c r="H9" s="33" t="n">
        <v>1</v>
      </c>
      <c r="I9" s="31" t="n">
        <v>43045</v>
      </c>
      <c r="J9" s="31" t="n"/>
      <c r="K9" s="32" t="n"/>
      <c r="L9" s="34" t="n">
        <v>3400</v>
      </c>
      <c r="M9" s="35" t="n">
        <v>2</v>
      </c>
      <c r="N9" s="35" t="n">
        <v>21</v>
      </c>
      <c r="O9" s="36">
        <f>IF(OR(B9="",I9=""),"",IF(AND(I9&lt;=Paramètres!$C$6,OR(J9="",J9&gt;=Paramètres!$C$6)),1,0))</f>
        <v/>
      </c>
      <c r="P9" s="36">
        <f>IF(OR(B9="",I9=""),"",IF(AND(I9&lt;=Paramètres!$C$7,OR(J9="",J9&gt;Paramètres!$C$7)),1,0))</f>
        <v/>
      </c>
      <c r="Q9" s="36">
        <f>IF(OR(B9="",I9=""),"",MAX(0,IF(J9="",Paramètres!$C$7,MIN(J9,Paramètres!$C$7))-MAX(I9,Paramètres!$C$6)+1))</f>
        <v/>
      </c>
      <c r="R9" s="37">
        <f>IF(Q9="","",Paramètres!$C$8*H9*Q9/365)</f>
        <v/>
      </c>
      <c r="S9" s="38">
        <f>IF(Q9="","",L9*12*Q9/365)</f>
        <v/>
      </c>
      <c r="T9" s="37">
        <f>IF(P9=1,(Paramètres!$C$7-I9)/365.25,"")</f>
        <v/>
      </c>
      <c r="U9" s="36">
        <f>IF(AND(P9=1,D9&lt;&gt;""),DATEDIF(D9,Paramètres!$C$7,"y"),"")</f>
        <v/>
      </c>
    </row>
    <row r="10" ht="15" customHeight="1">
      <c r="B10" s="29" t="inlineStr">
        <is>
          <t>Julie Martin</t>
        </is>
      </c>
      <c r="C10" s="30" t="inlineStr">
        <is>
          <t>F</t>
        </is>
      </c>
      <c r="D10" s="31" t="n">
        <v>33039</v>
      </c>
      <c r="E10" s="32" t="inlineStr">
        <is>
          <t>Production</t>
        </is>
      </c>
      <c r="F10" s="32" t="inlineStr">
        <is>
          <t>Graphiste</t>
        </is>
      </c>
      <c r="G10" s="30" t="inlineStr">
        <is>
          <t>CDI</t>
        </is>
      </c>
      <c r="H10" s="33" t="n">
        <v>0.8</v>
      </c>
      <c r="I10" s="31" t="n">
        <v>43528</v>
      </c>
      <c r="J10" s="31" t="n"/>
      <c r="K10" s="32" t="n"/>
      <c r="L10" s="34" t="n">
        <v>2300</v>
      </c>
      <c r="M10" s="35" t="n">
        <v>6</v>
      </c>
      <c r="N10" s="35" t="n">
        <v>0</v>
      </c>
      <c r="O10" s="36">
        <f>IF(OR(B10="",I10=""),"",IF(AND(I10&lt;=Paramètres!$C$6,OR(J10="",J10&gt;=Paramètres!$C$6)),1,0))</f>
        <v/>
      </c>
      <c r="P10" s="36">
        <f>IF(OR(B10="",I10=""),"",IF(AND(I10&lt;=Paramètres!$C$7,OR(J10="",J10&gt;Paramètres!$C$7)),1,0))</f>
        <v/>
      </c>
      <c r="Q10" s="36">
        <f>IF(OR(B10="",I10=""),"",MAX(0,IF(J10="",Paramètres!$C$7,MIN(J10,Paramètres!$C$7))-MAX(I10,Paramètres!$C$6)+1))</f>
        <v/>
      </c>
      <c r="R10" s="37">
        <f>IF(Q10="","",Paramètres!$C$8*H10*Q10/365)</f>
        <v/>
      </c>
      <c r="S10" s="38">
        <f>IF(Q10="","",L10*12*Q10/365)</f>
        <v/>
      </c>
      <c r="T10" s="37">
        <f>IF(P10=1,(Paramètres!$C$7-I10)/365.25,"")</f>
        <v/>
      </c>
      <c r="U10" s="36">
        <f>IF(AND(P10=1,D10&lt;&gt;""),DATEDIF(D10,Paramètres!$C$7,"y"),"")</f>
        <v/>
      </c>
    </row>
    <row r="11" ht="15" customHeight="1">
      <c r="B11" s="29" t="inlineStr">
        <is>
          <t>Karim Benali</t>
        </is>
      </c>
      <c r="C11" s="30" t="inlineStr">
        <is>
          <t>H</t>
        </is>
      </c>
      <c r="D11" s="31" t="n">
        <v>34342</v>
      </c>
      <c r="E11" s="32" t="inlineStr">
        <is>
          <t>Production</t>
        </is>
      </c>
      <c r="F11" s="32" t="inlineStr">
        <is>
          <t>Développeur</t>
        </is>
      </c>
      <c r="G11" s="30" t="inlineStr">
        <is>
          <t>CDI</t>
        </is>
      </c>
      <c r="H11" s="33" t="n">
        <v>1</v>
      </c>
      <c r="I11" s="31" t="n">
        <v>44440</v>
      </c>
      <c r="J11" s="31" t="n"/>
      <c r="K11" s="32" t="n"/>
      <c r="L11" s="34" t="n">
        <v>3100</v>
      </c>
      <c r="M11" s="35" t="n">
        <v>3</v>
      </c>
      <c r="N11" s="35" t="n">
        <v>35</v>
      </c>
      <c r="O11" s="36">
        <f>IF(OR(B11="",I11=""),"",IF(AND(I11&lt;=Paramètres!$C$6,OR(J11="",J11&gt;=Paramètres!$C$6)),1,0))</f>
        <v/>
      </c>
      <c r="P11" s="36">
        <f>IF(OR(B11="",I11=""),"",IF(AND(I11&lt;=Paramètres!$C$7,OR(J11="",J11&gt;Paramètres!$C$7)),1,0))</f>
        <v/>
      </c>
      <c r="Q11" s="36">
        <f>IF(OR(B11="",I11=""),"",MAX(0,IF(J11="",Paramètres!$C$7,MIN(J11,Paramètres!$C$7))-MAX(I11,Paramètres!$C$6)+1))</f>
        <v/>
      </c>
      <c r="R11" s="37">
        <f>IF(Q11="","",Paramètres!$C$8*H11*Q11/365)</f>
        <v/>
      </c>
      <c r="S11" s="38">
        <f>IF(Q11="","",L11*12*Q11/365)</f>
        <v/>
      </c>
      <c r="T11" s="37">
        <f>IF(P11=1,(Paramètres!$C$7-I11)/365.25,"")</f>
        <v/>
      </c>
      <c r="U11" s="36">
        <f>IF(AND(P11=1,D11&lt;&gt;""),DATEDIF(D11,Paramètres!$C$7,"y"),"")</f>
        <v/>
      </c>
    </row>
    <row r="12" ht="15" customHeight="1">
      <c r="B12" s="29" t="inlineStr">
        <is>
          <t>Sophie Durand</t>
        </is>
      </c>
      <c r="C12" s="30" t="inlineStr">
        <is>
          <t>F</t>
        </is>
      </c>
      <c r="D12" s="31" t="n">
        <v>30550</v>
      </c>
      <c r="E12" s="32" t="inlineStr">
        <is>
          <t>Production</t>
        </is>
      </c>
      <c r="F12" s="32" t="inlineStr">
        <is>
          <t>Développeuse</t>
        </is>
      </c>
      <c r="G12" s="30" t="inlineStr">
        <is>
          <t>CDI</t>
        </is>
      </c>
      <c r="H12" s="33" t="n">
        <v>1</v>
      </c>
      <c r="I12" s="31" t="n">
        <v>43115</v>
      </c>
      <c r="J12" s="31" t="n"/>
      <c r="K12" s="32" t="n"/>
      <c r="L12" s="34" t="n">
        <v>3300</v>
      </c>
      <c r="M12" s="35" t="n">
        <v>0</v>
      </c>
      <c r="N12" s="35" t="n">
        <v>14</v>
      </c>
      <c r="O12" s="36">
        <f>IF(OR(B12="",I12=""),"",IF(AND(I12&lt;=Paramètres!$C$6,OR(J12="",J12&gt;=Paramètres!$C$6)),1,0))</f>
        <v/>
      </c>
      <c r="P12" s="36">
        <f>IF(OR(B12="",I12=""),"",IF(AND(I12&lt;=Paramètres!$C$7,OR(J12="",J12&gt;Paramètres!$C$7)),1,0))</f>
        <v/>
      </c>
      <c r="Q12" s="36">
        <f>IF(OR(B12="",I12=""),"",MAX(0,IF(J12="",Paramètres!$C$7,MIN(J12,Paramètres!$C$7))-MAX(I12,Paramètres!$C$6)+1))</f>
        <v/>
      </c>
      <c r="R12" s="37">
        <f>IF(Q12="","",Paramètres!$C$8*H12*Q12/365)</f>
        <v/>
      </c>
      <c r="S12" s="38">
        <f>IF(Q12="","",L12*12*Q12/365)</f>
        <v/>
      </c>
      <c r="T12" s="37">
        <f>IF(P12=1,(Paramètres!$C$7-I12)/365.25,"")</f>
        <v/>
      </c>
      <c r="U12" s="36">
        <f>IF(AND(P12=1,D12&lt;&gt;""),DATEDIF(D12,Paramètres!$C$7,"y"),"")</f>
        <v/>
      </c>
    </row>
    <row r="13" ht="15" customHeight="1">
      <c r="B13" s="29" t="inlineStr">
        <is>
          <t>Emma Roux</t>
        </is>
      </c>
      <c r="C13" s="30" t="inlineStr">
        <is>
          <t>F</t>
        </is>
      </c>
      <c r="D13" s="31" t="n">
        <v>35187</v>
      </c>
      <c r="E13" s="32" t="inlineStr">
        <is>
          <t>Administratif</t>
        </is>
      </c>
      <c r="F13" s="32" t="inlineStr">
        <is>
          <t>Assistante de gestion</t>
        </is>
      </c>
      <c r="G13" s="30" t="inlineStr">
        <is>
          <t>CDI</t>
        </is>
      </c>
      <c r="H13" s="33" t="n">
        <v>1</v>
      </c>
      <c r="I13" s="31" t="n">
        <v>43983</v>
      </c>
      <c r="J13" s="31" t="n"/>
      <c r="K13" s="32" t="n"/>
      <c r="L13" s="34" t="n">
        <v>2200</v>
      </c>
      <c r="M13" s="35" t="n">
        <v>9</v>
      </c>
      <c r="N13" s="35" t="n">
        <v>7</v>
      </c>
      <c r="O13" s="36">
        <f>IF(OR(B13="",I13=""),"",IF(AND(I13&lt;=Paramètres!$C$6,OR(J13="",J13&gt;=Paramètres!$C$6)),1,0))</f>
        <v/>
      </c>
      <c r="P13" s="36">
        <f>IF(OR(B13="",I13=""),"",IF(AND(I13&lt;=Paramètres!$C$7,OR(J13="",J13&gt;Paramètres!$C$7)),1,0))</f>
        <v/>
      </c>
      <c r="Q13" s="36">
        <f>IF(OR(B13="",I13=""),"",MAX(0,IF(J13="",Paramètres!$C$7,MIN(J13,Paramètres!$C$7))-MAX(I13,Paramètres!$C$6)+1))</f>
        <v/>
      </c>
      <c r="R13" s="37">
        <f>IF(Q13="","",Paramètres!$C$8*H13*Q13/365)</f>
        <v/>
      </c>
      <c r="S13" s="38">
        <f>IF(Q13="","",L13*12*Q13/365)</f>
        <v/>
      </c>
      <c r="T13" s="37">
        <f>IF(P13=1,(Paramètres!$C$7-I13)/365.25,"")</f>
        <v/>
      </c>
      <c r="U13" s="36">
        <f>IF(AND(P13=1,D13&lt;&gt;""),DATEDIF(D13,Paramètres!$C$7,"y"),"")</f>
        <v/>
      </c>
    </row>
    <row r="14" ht="15" customHeight="1">
      <c r="B14" s="29" t="inlineStr">
        <is>
          <t>Paul Girard</t>
        </is>
      </c>
      <c r="C14" s="30" t="inlineStr">
        <is>
          <t>H</t>
        </is>
      </c>
      <c r="D14" s="31" t="n">
        <v>36236</v>
      </c>
      <c r="E14" s="32" t="inlineStr">
        <is>
          <t>Production</t>
        </is>
      </c>
      <c r="F14" s="32" t="inlineStr">
        <is>
          <t>Intégrateur web</t>
        </is>
      </c>
      <c r="G14" s="30" t="inlineStr">
        <is>
          <t>CDD</t>
        </is>
      </c>
      <c r="H14" s="33" t="n">
        <v>1</v>
      </c>
      <c r="I14" s="31" t="n">
        <v>45931</v>
      </c>
      <c r="J14" s="31" t="n">
        <v>46112</v>
      </c>
      <c r="K14" s="32" t="inlineStr">
        <is>
          <t>Fin de CDD</t>
        </is>
      </c>
      <c r="L14" s="34" t="n">
        <v>2100</v>
      </c>
      <c r="M14" s="35" t="n">
        <v>0</v>
      </c>
      <c r="N14" s="35" t="n">
        <v>0</v>
      </c>
      <c r="O14" s="36">
        <f>IF(OR(B14="",I14=""),"",IF(AND(I14&lt;=Paramètres!$C$6,OR(J14="",J14&gt;=Paramètres!$C$6)),1,0))</f>
        <v/>
      </c>
      <c r="P14" s="36">
        <f>IF(OR(B14="",I14=""),"",IF(AND(I14&lt;=Paramètres!$C$7,OR(J14="",J14&gt;Paramètres!$C$7)),1,0))</f>
        <v/>
      </c>
      <c r="Q14" s="36">
        <f>IF(OR(B14="",I14=""),"",MAX(0,IF(J14="",Paramètres!$C$7,MIN(J14,Paramètres!$C$7))-MAX(I14,Paramètres!$C$6)+1))</f>
        <v/>
      </c>
      <c r="R14" s="37">
        <f>IF(Q14="","",Paramètres!$C$8*H14*Q14/365)</f>
        <v/>
      </c>
      <c r="S14" s="38">
        <f>IF(Q14="","",L14*12*Q14/365)</f>
        <v/>
      </c>
      <c r="T14" s="37">
        <f>IF(P14=1,(Paramètres!$C$7-I14)/365.25,"")</f>
        <v/>
      </c>
      <c r="U14" s="36">
        <f>IF(AND(P14=1,D14&lt;&gt;""),DATEDIF(D14,Paramètres!$C$7,"y"),"")</f>
        <v/>
      </c>
    </row>
    <row r="15" ht="15" customHeight="1">
      <c r="B15" s="29" t="inlineStr">
        <is>
          <t>Inès Blanc</t>
        </is>
      </c>
      <c r="C15" s="30" t="inlineStr">
        <is>
          <t>F</t>
        </is>
      </c>
      <c r="D15" s="31" t="n">
        <v>33577</v>
      </c>
      <c r="E15" s="32" t="inlineStr">
        <is>
          <t>Commercial</t>
        </is>
      </c>
      <c r="F15" s="32" t="inlineStr">
        <is>
          <t>Commerciale</t>
        </is>
      </c>
      <c r="G15" s="30" t="inlineStr">
        <is>
          <t>CDI</t>
        </is>
      </c>
      <c r="H15" s="33" t="n">
        <v>1</v>
      </c>
      <c r="I15" s="31" t="n">
        <v>44655</v>
      </c>
      <c r="J15" s="31" t="n">
        <v>46203</v>
      </c>
      <c r="K15" s="32" t="inlineStr">
        <is>
          <t>Démission</t>
        </is>
      </c>
      <c r="L15" s="34" t="n">
        <v>2700</v>
      </c>
      <c r="M15" s="35" t="n">
        <v>15</v>
      </c>
      <c r="N15" s="35" t="n">
        <v>0</v>
      </c>
      <c r="O15" s="36">
        <f>IF(OR(B15="",I15=""),"",IF(AND(I15&lt;=Paramètres!$C$6,OR(J15="",J15&gt;=Paramètres!$C$6)),1,0))</f>
        <v/>
      </c>
      <c r="P15" s="36">
        <f>IF(OR(B15="",I15=""),"",IF(AND(I15&lt;=Paramètres!$C$7,OR(J15="",J15&gt;Paramètres!$C$7)),1,0))</f>
        <v/>
      </c>
      <c r="Q15" s="36">
        <f>IF(OR(B15="",I15=""),"",MAX(0,IF(J15="",Paramètres!$C$7,MIN(J15,Paramètres!$C$7))-MAX(I15,Paramètres!$C$6)+1))</f>
        <v/>
      </c>
      <c r="R15" s="37">
        <f>IF(Q15="","",Paramètres!$C$8*H15*Q15/365)</f>
        <v/>
      </c>
      <c r="S15" s="38">
        <f>IF(Q15="","",L15*12*Q15/365)</f>
        <v/>
      </c>
      <c r="T15" s="37">
        <f>IF(P15=1,(Paramètres!$C$7-I15)/365.25,"")</f>
        <v/>
      </c>
      <c r="U15" s="36">
        <f>IF(AND(P15=1,D15&lt;&gt;""),DATEDIF(D15,Paramètres!$C$7,"y"),"")</f>
        <v/>
      </c>
    </row>
    <row r="16" ht="15" customHeight="1">
      <c r="B16" s="29" t="inlineStr">
        <is>
          <t>Lucas Petit</t>
        </is>
      </c>
      <c r="C16" s="30" t="inlineStr">
        <is>
          <t>H</t>
        </is>
      </c>
      <c r="D16" s="31" t="n">
        <v>35639</v>
      </c>
      <c r="E16" s="32" t="inlineStr">
        <is>
          <t>Commercial</t>
        </is>
      </c>
      <c r="F16" s="32" t="inlineStr">
        <is>
          <t>Commercial</t>
        </is>
      </c>
      <c r="G16" s="30" t="inlineStr">
        <is>
          <t>CDI</t>
        </is>
      </c>
      <c r="H16" s="33" t="n">
        <v>1</v>
      </c>
      <c r="I16" s="31" t="n">
        <v>46083</v>
      </c>
      <c r="J16" s="31" t="n"/>
      <c r="K16" s="32" t="n"/>
      <c r="L16" s="34" t="n">
        <v>2500</v>
      </c>
      <c r="M16" s="35" t="n">
        <v>2</v>
      </c>
      <c r="N16" s="35" t="n">
        <v>21</v>
      </c>
      <c r="O16" s="36">
        <f>IF(OR(B16="",I16=""),"",IF(AND(I16&lt;=Paramètres!$C$6,OR(J16="",J16&gt;=Paramètres!$C$6)),1,0))</f>
        <v/>
      </c>
      <c r="P16" s="36">
        <f>IF(OR(B16="",I16=""),"",IF(AND(I16&lt;=Paramètres!$C$7,OR(J16="",J16&gt;Paramètres!$C$7)),1,0))</f>
        <v/>
      </c>
      <c r="Q16" s="36">
        <f>IF(OR(B16="",I16=""),"",MAX(0,IF(J16="",Paramètres!$C$7,MIN(J16,Paramètres!$C$7))-MAX(I16,Paramètres!$C$6)+1))</f>
        <v/>
      </c>
      <c r="R16" s="37">
        <f>IF(Q16="","",Paramètres!$C$8*H16*Q16/365)</f>
        <v/>
      </c>
      <c r="S16" s="38">
        <f>IF(Q16="","",L16*12*Q16/365)</f>
        <v/>
      </c>
      <c r="T16" s="37">
        <f>IF(P16=1,(Paramètres!$C$7-I16)/365.25,"")</f>
        <v/>
      </c>
      <c r="U16" s="36">
        <f>IF(AND(P16=1,D16&lt;&gt;""),DATEDIF(D16,Paramètres!$C$7,"y"),"")</f>
        <v/>
      </c>
    </row>
    <row r="17" ht="15" customHeight="1">
      <c r="B17" s="29" t="inlineStr">
        <is>
          <t>Léa Fontaine</t>
        </is>
      </c>
      <c r="C17" s="30" t="inlineStr">
        <is>
          <t>F</t>
        </is>
      </c>
      <c r="D17" s="31" t="n">
        <v>38271</v>
      </c>
      <c r="E17" s="32" t="inlineStr">
        <is>
          <t>Production</t>
        </is>
      </c>
      <c r="F17" s="32" t="inlineStr">
        <is>
          <t>Alternante développeuse</t>
        </is>
      </c>
      <c r="G17" s="30" t="inlineStr">
        <is>
          <t>Alternance</t>
        </is>
      </c>
      <c r="H17" s="33" t="n">
        <v>1</v>
      </c>
      <c r="I17" s="31" t="n">
        <v>45901</v>
      </c>
      <c r="J17" s="31" t="n"/>
      <c r="K17" s="32" t="n"/>
      <c r="L17" s="34" t="n">
        <v>1100</v>
      </c>
      <c r="M17" s="35" t="n">
        <v>0</v>
      </c>
      <c r="N17" s="35" t="n">
        <v>0</v>
      </c>
      <c r="O17" s="36">
        <f>IF(OR(B17="",I17=""),"",IF(AND(I17&lt;=Paramètres!$C$6,OR(J17="",J17&gt;=Paramètres!$C$6)),1,0))</f>
        <v/>
      </c>
      <c r="P17" s="36">
        <f>IF(OR(B17="",I17=""),"",IF(AND(I17&lt;=Paramètres!$C$7,OR(J17="",J17&gt;Paramètres!$C$7)),1,0))</f>
        <v/>
      </c>
      <c r="Q17" s="36">
        <f>IF(OR(B17="",I17=""),"",MAX(0,IF(J17="",Paramètres!$C$7,MIN(J17,Paramètres!$C$7))-MAX(I17,Paramètres!$C$6)+1))</f>
        <v/>
      </c>
      <c r="R17" s="37">
        <f>IF(Q17="","",Paramètres!$C$8*H17*Q17/365)</f>
        <v/>
      </c>
      <c r="S17" s="38">
        <f>IF(Q17="","",L17*12*Q17/365)</f>
        <v/>
      </c>
      <c r="T17" s="37">
        <f>IF(P17=1,(Paramètres!$C$7-I17)/365.25,"")</f>
        <v/>
      </c>
      <c r="U17" s="36">
        <f>IF(AND(P17=1,D17&lt;&gt;""),DATEDIF(D17,Paramètres!$C$7,"y"),"")</f>
        <v/>
      </c>
    </row>
    <row r="18" ht="15" customHeight="1">
      <c r="B18" s="29" t="inlineStr">
        <is>
          <t>Hugo Lambert</t>
        </is>
      </c>
      <c r="C18" s="30" t="inlineStr">
        <is>
          <t>H</t>
        </is>
      </c>
      <c r="D18" s="31" t="n">
        <v>34744</v>
      </c>
      <c r="E18" s="32" t="inlineStr">
        <is>
          <t>Production</t>
        </is>
      </c>
      <c r="F18" s="32" t="inlineStr">
        <is>
          <t>Chef de projet</t>
        </is>
      </c>
      <c r="G18" s="30" t="inlineStr">
        <is>
          <t>CDI</t>
        </is>
      </c>
      <c r="H18" s="33" t="n">
        <v>1</v>
      </c>
      <c r="I18" s="31" t="n">
        <v>46146</v>
      </c>
      <c r="J18" s="31" t="n">
        <v>46199</v>
      </c>
      <c r="K18" s="32" t="inlineStr">
        <is>
          <t>Fin de période d'essai</t>
        </is>
      </c>
      <c r="L18" s="34" t="n">
        <v>3200</v>
      </c>
      <c r="M18" s="35" t="n">
        <v>0</v>
      </c>
      <c r="N18" s="35" t="n">
        <v>0</v>
      </c>
      <c r="O18" s="36">
        <f>IF(OR(B18="",I18=""),"",IF(AND(I18&lt;=Paramètres!$C$6,OR(J18="",J18&gt;=Paramètres!$C$6)),1,0))</f>
        <v/>
      </c>
      <c r="P18" s="36">
        <f>IF(OR(B18="",I18=""),"",IF(AND(I18&lt;=Paramètres!$C$7,OR(J18="",J18&gt;Paramètres!$C$7)),1,0))</f>
        <v/>
      </c>
      <c r="Q18" s="36">
        <f>IF(OR(B18="",I18=""),"",MAX(0,IF(J18="",Paramètres!$C$7,MIN(J18,Paramètres!$C$7))-MAX(I18,Paramètres!$C$6)+1))</f>
        <v/>
      </c>
      <c r="R18" s="37">
        <f>IF(Q18="","",Paramètres!$C$8*H18*Q18/365)</f>
        <v/>
      </c>
      <c r="S18" s="38">
        <f>IF(Q18="","",L18*12*Q18/365)</f>
        <v/>
      </c>
      <c r="T18" s="37">
        <f>IF(P18=1,(Paramètres!$C$7-I18)/365.25,"")</f>
        <v/>
      </c>
      <c r="U18" s="36">
        <f>IF(AND(P18=1,D18&lt;&gt;""),DATEDIF(D18,Paramètres!$C$7,"y"),"")</f>
        <v/>
      </c>
    </row>
    <row r="19" ht="15" customHeight="1">
      <c r="B19" s="29" t="inlineStr">
        <is>
          <t>Chloé Mercier</t>
        </is>
      </c>
      <c r="C19" s="30" t="inlineStr">
        <is>
          <t>F</t>
        </is>
      </c>
      <c r="D19" s="31" t="n">
        <v>34221</v>
      </c>
      <c r="E19" s="32" t="inlineStr">
        <is>
          <t>Administratif</t>
        </is>
      </c>
      <c r="F19" s="32" t="inlineStr">
        <is>
          <t>Chargée RH</t>
        </is>
      </c>
      <c r="G19" s="30" t="inlineStr">
        <is>
          <t>CDI</t>
        </is>
      </c>
      <c r="H19" s="33" t="n">
        <v>0.6</v>
      </c>
      <c r="I19" s="31" t="n">
        <v>46204</v>
      </c>
      <c r="J19" s="31" t="n"/>
      <c r="K19" s="32" t="n"/>
      <c r="L19" s="34" t="n">
        <v>1700</v>
      </c>
      <c r="M19" s="35" t="n">
        <v>0</v>
      </c>
      <c r="N19" s="35" t="n">
        <v>7</v>
      </c>
      <c r="O19" s="36">
        <f>IF(OR(B19="",I19=""),"",IF(AND(I19&lt;=Paramètres!$C$6,OR(J19="",J19&gt;=Paramètres!$C$6)),1,0))</f>
        <v/>
      </c>
      <c r="P19" s="36">
        <f>IF(OR(B19="",I19=""),"",IF(AND(I19&lt;=Paramètres!$C$7,OR(J19="",J19&gt;Paramètres!$C$7)),1,0))</f>
        <v/>
      </c>
      <c r="Q19" s="36">
        <f>IF(OR(B19="",I19=""),"",MAX(0,IF(J19="",Paramètres!$C$7,MIN(J19,Paramètres!$C$7))-MAX(I19,Paramètres!$C$6)+1))</f>
        <v/>
      </c>
      <c r="R19" s="37">
        <f>IF(Q19="","",Paramètres!$C$8*H19*Q19/365)</f>
        <v/>
      </c>
      <c r="S19" s="38">
        <f>IF(Q19="","",L19*12*Q19/365)</f>
        <v/>
      </c>
      <c r="T19" s="37">
        <f>IF(P19=1,(Paramètres!$C$7-I19)/365.25,"")</f>
        <v/>
      </c>
      <c r="U19" s="36">
        <f>IF(AND(P19=1,D19&lt;&gt;""),DATEDIF(D19,Paramètres!$C$7,"y"),"")</f>
        <v/>
      </c>
    </row>
    <row r="20" ht="15" customHeight="1">
      <c r="B20" s="29" t="n"/>
      <c r="C20" s="30" t="n"/>
      <c r="D20" s="31" t="n"/>
      <c r="E20" s="32" t="n"/>
      <c r="F20" s="32" t="n"/>
      <c r="G20" s="30" t="n"/>
      <c r="H20" s="33" t="n"/>
      <c r="I20" s="31" t="n"/>
      <c r="J20" s="31" t="n"/>
      <c r="K20" s="32" t="n"/>
      <c r="L20" s="34" t="n"/>
      <c r="M20" s="35" t="n"/>
      <c r="N20" s="35" t="n"/>
      <c r="O20" s="36">
        <f>IF(OR(B20="",I20=""),"",IF(AND(I20&lt;=Paramètres!$C$6,OR(J20="",J20&gt;=Paramètres!$C$6)),1,0))</f>
        <v/>
      </c>
      <c r="P20" s="36">
        <f>IF(OR(B20="",I20=""),"",IF(AND(I20&lt;=Paramètres!$C$7,OR(J20="",J20&gt;Paramètres!$C$7)),1,0))</f>
        <v/>
      </c>
      <c r="Q20" s="36">
        <f>IF(OR(B20="",I20=""),"",MAX(0,IF(J20="",Paramètres!$C$7,MIN(J20,Paramètres!$C$7))-MAX(I20,Paramètres!$C$6)+1))</f>
        <v/>
      </c>
      <c r="R20" s="37">
        <f>IF(Q20="","",Paramètres!$C$8*H20*Q20/365)</f>
        <v/>
      </c>
      <c r="S20" s="38">
        <f>IF(Q20="","",L20*12*Q20/365)</f>
        <v/>
      </c>
      <c r="T20" s="37">
        <f>IF(P20=1,(Paramètres!$C$7-I20)/365.25,"")</f>
        <v/>
      </c>
      <c r="U20" s="36">
        <f>IF(AND(P20=1,D20&lt;&gt;""),DATEDIF(D20,Paramètres!$C$7,"y"),"")</f>
        <v/>
      </c>
    </row>
    <row r="21" ht="15" customHeight="1">
      <c r="B21" s="29" t="n"/>
      <c r="C21" s="30" t="n"/>
      <c r="D21" s="31" t="n"/>
      <c r="E21" s="32" t="n"/>
      <c r="F21" s="32" t="n"/>
      <c r="G21" s="30" t="n"/>
      <c r="H21" s="33" t="n"/>
      <c r="I21" s="31" t="n"/>
      <c r="J21" s="31" t="n"/>
      <c r="K21" s="32" t="n"/>
      <c r="L21" s="34" t="n"/>
      <c r="M21" s="35" t="n"/>
      <c r="N21" s="35" t="n"/>
      <c r="O21" s="36">
        <f>IF(OR(B21="",I21=""),"",IF(AND(I21&lt;=Paramètres!$C$6,OR(J21="",J21&gt;=Paramètres!$C$6)),1,0))</f>
        <v/>
      </c>
      <c r="P21" s="36">
        <f>IF(OR(B21="",I21=""),"",IF(AND(I21&lt;=Paramètres!$C$7,OR(J21="",J21&gt;Paramètres!$C$7)),1,0))</f>
        <v/>
      </c>
      <c r="Q21" s="36">
        <f>IF(OR(B21="",I21=""),"",MAX(0,IF(J21="",Paramètres!$C$7,MIN(J21,Paramètres!$C$7))-MAX(I21,Paramètres!$C$6)+1))</f>
        <v/>
      </c>
      <c r="R21" s="37">
        <f>IF(Q21="","",Paramètres!$C$8*H21*Q21/365)</f>
        <v/>
      </c>
      <c r="S21" s="38">
        <f>IF(Q21="","",L21*12*Q21/365)</f>
        <v/>
      </c>
      <c r="T21" s="37">
        <f>IF(P21=1,(Paramètres!$C$7-I21)/365.25,"")</f>
        <v/>
      </c>
      <c r="U21" s="36">
        <f>IF(AND(P21=1,D21&lt;&gt;""),DATEDIF(D21,Paramètres!$C$7,"y"),"")</f>
        <v/>
      </c>
    </row>
    <row r="22" ht="15" customHeight="1">
      <c r="B22" s="29" t="n"/>
      <c r="C22" s="30" t="n"/>
      <c r="D22" s="31" t="n"/>
      <c r="E22" s="32" t="n"/>
      <c r="F22" s="32" t="n"/>
      <c r="G22" s="30" t="n"/>
      <c r="H22" s="33" t="n"/>
      <c r="I22" s="31" t="n"/>
      <c r="J22" s="31" t="n"/>
      <c r="K22" s="32" t="n"/>
      <c r="L22" s="34" t="n"/>
      <c r="M22" s="35" t="n"/>
      <c r="N22" s="35" t="n"/>
      <c r="O22" s="36">
        <f>IF(OR(B22="",I22=""),"",IF(AND(I22&lt;=Paramètres!$C$6,OR(J22="",J22&gt;=Paramètres!$C$6)),1,0))</f>
        <v/>
      </c>
      <c r="P22" s="36">
        <f>IF(OR(B22="",I22=""),"",IF(AND(I22&lt;=Paramètres!$C$7,OR(J22="",J22&gt;Paramètres!$C$7)),1,0))</f>
        <v/>
      </c>
      <c r="Q22" s="36">
        <f>IF(OR(B22="",I22=""),"",MAX(0,IF(J22="",Paramètres!$C$7,MIN(J22,Paramètres!$C$7))-MAX(I22,Paramètres!$C$6)+1))</f>
        <v/>
      </c>
      <c r="R22" s="37">
        <f>IF(Q22="","",Paramètres!$C$8*H22*Q22/365)</f>
        <v/>
      </c>
      <c r="S22" s="38">
        <f>IF(Q22="","",L22*12*Q22/365)</f>
        <v/>
      </c>
      <c r="T22" s="37">
        <f>IF(P22=1,(Paramètres!$C$7-I22)/365.25,"")</f>
        <v/>
      </c>
      <c r="U22" s="36">
        <f>IF(AND(P22=1,D22&lt;&gt;""),DATEDIF(D22,Paramètres!$C$7,"y"),"")</f>
        <v/>
      </c>
    </row>
    <row r="23" ht="15" customHeight="1">
      <c r="B23" s="29" t="n"/>
      <c r="C23" s="30" t="n"/>
      <c r="D23" s="31" t="n"/>
      <c r="E23" s="32" t="n"/>
      <c r="F23" s="32" t="n"/>
      <c r="G23" s="30" t="n"/>
      <c r="H23" s="33" t="n"/>
      <c r="I23" s="31" t="n"/>
      <c r="J23" s="31" t="n"/>
      <c r="K23" s="32" t="n"/>
      <c r="L23" s="34" t="n"/>
      <c r="M23" s="35" t="n"/>
      <c r="N23" s="35" t="n"/>
      <c r="O23" s="36">
        <f>IF(OR(B23="",I23=""),"",IF(AND(I23&lt;=Paramètres!$C$6,OR(J23="",J23&gt;=Paramètres!$C$6)),1,0))</f>
        <v/>
      </c>
      <c r="P23" s="36">
        <f>IF(OR(B23="",I23=""),"",IF(AND(I23&lt;=Paramètres!$C$7,OR(J23="",J23&gt;Paramètres!$C$7)),1,0))</f>
        <v/>
      </c>
      <c r="Q23" s="36">
        <f>IF(OR(B23="",I23=""),"",MAX(0,IF(J23="",Paramètres!$C$7,MIN(J23,Paramètres!$C$7))-MAX(I23,Paramètres!$C$6)+1))</f>
        <v/>
      </c>
      <c r="R23" s="37">
        <f>IF(Q23="","",Paramètres!$C$8*H23*Q23/365)</f>
        <v/>
      </c>
      <c r="S23" s="38">
        <f>IF(Q23="","",L23*12*Q23/365)</f>
        <v/>
      </c>
      <c r="T23" s="37">
        <f>IF(P23=1,(Paramètres!$C$7-I23)/365.25,"")</f>
        <v/>
      </c>
      <c r="U23" s="36">
        <f>IF(AND(P23=1,D23&lt;&gt;""),DATEDIF(D23,Paramètres!$C$7,"y"),"")</f>
        <v/>
      </c>
    </row>
    <row r="24" ht="15" customHeight="1">
      <c r="B24" s="29" t="n"/>
      <c r="C24" s="30" t="n"/>
      <c r="D24" s="31" t="n"/>
      <c r="E24" s="32" t="n"/>
      <c r="F24" s="32" t="n"/>
      <c r="G24" s="30" t="n"/>
      <c r="H24" s="33" t="n"/>
      <c r="I24" s="31" t="n"/>
      <c r="J24" s="31" t="n"/>
      <c r="K24" s="32" t="n"/>
      <c r="L24" s="34" t="n"/>
      <c r="M24" s="35" t="n"/>
      <c r="N24" s="35" t="n"/>
      <c r="O24" s="36">
        <f>IF(OR(B24="",I24=""),"",IF(AND(I24&lt;=Paramètres!$C$6,OR(J24="",J24&gt;=Paramètres!$C$6)),1,0))</f>
        <v/>
      </c>
      <c r="P24" s="36">
        <f>IF(OR(B24="",I24=""),"",IF(AND(I24&lt;=Paramètres!$C$7,OR(J24="",J24&gt;Paramètres!$C$7)),1,0))</f>
        <v/>
      </c>
      <c r="Q24" s="36">
        <f>IF(OR(B24="",I24=""),"",MAX(0,IF(J24="",Paramètres!$C$7,MIN(J24,Paramètres!$C$7))-MAX(I24,Paramètres!$C$6)+1))</f>
        <v/>
      </c>
      <c r="R24" s="37">
        <f>IF(Q24="","",Paramètres!$C$8*H24*Q24/365)</f>
        <v/>
      </c>
      <c r="S24" s="38">
        <f>IF(Q24="","",L24*12*Q24/365)</f>
        <v/>
      </c>
      <c r="T24" s="37">
        <f>IF(P24=1,(Paramètres!$C$7-I24)/365.25,"")</f>
        <v/>
      </c>
      <c r="U24" s="36">
        <f>IF(AND(P24=1,D24&lt;&gt;""),DATEDIF(D24,Paramètres!$C$7,"y"),"")</f>
        <v/>
      </c>
    </row>
    <row r="25" ht="15" customHeight="1">
      <c r="B25" s="29" t="n"/>
      <c r="C25" s="30" t="n"/>
      <c r="D25" s="31" t="n"/>
      <c r="E25" s="32" t="n"/>
      <c r="F25" s="32" t="n"/>
      <c r="G25" s="30" t="n"/>
      <c r="H25" s="33" t="n"/>
      <c r="I25" s="31" t="n"/>
      <c r="J25" s="31" t="n"/>
      <c r="K25" s="32" t="n"/>
      <c r="L25" s="34" t="n"/>
      <c r="M25" s="35" t="n"/>
      <c r="N25" s="35" t="n"/>
      <c r="O25" s="36">
        <f>IF(OR(B25="",I25=""),"",IF(AND(I25&lt;=Paramètres!$C$6,OR(J25="",J25&gt;=Paramètres!$C$6)),1,0))</f>
        <v/>
      </c>
      <c r="P25" s="36">
        <f>IF(OR(B25="",I25=""),"",IF(AND(I25&lt;=Paramètres!$C$7,OR(J25="",J25&gt;Paramètres!$C$7)),1,0))</f>
        <v/>
      </c>
      <c r="Q25" s="36">
        <f>IF(OR(B25="",I25=""),"",MAX(0,IF(J25="",Paramètres!$C$7,MIN(J25,Paramètres!$C$7))-MAX(I25,Paramètres!$C$6)+1))</f>
        <v/>
      </c>
      <c r="R25" s="37">
        <f>IF(Q25="","",Paramètres!$C$8*H25*Q25/365)</f>
        <v/>
      </c>
      <c r="S25" s="38">
        <f>IF(Q25="","",L25*12*Q25/365)</f>
        <v/>
      </c>
      <c r="T25" s="37">
        <f>IF(P25=1,(Paramètres!$C$7-I25)/365.25,"")</f>
        <v/>
      </c>
      <c r="U25" s="36">
        <f>IF(AND(P25=1,D25&lt;&gt;""),DATEDIF(D25,Paramètres!$C$7,"y"),"")</f>
        <v/>
      </c>
    </row>
  </sheetData>
  <dataValidations count="4">
    <dataValidation sqref="C6:C25" showDropDown="0" showInputMessage="0" showErrorMessage="0" allowBlank="1" type="list">
      <formula1>=Paramètres!$E$13:$E$14</formula1>
    </dataValidation>
    <dataValidation sqref="E6:E25" showDropDown="0" showInputMessage="0" showErrorMessage="0" allowBlank="1" type="list">
      <formula1>=Paramètres!$E$5:$E$10</formula1>
    </dataValidation>
    <dataValidation sqref="G6:G25" showDropDown="0" showInputMessage="0" showErrorMessage="0" allowBlank="1" type="list">
      <formula1>=Paramètres!$F$5:$F$8</formula1>
    </dataValidation>
    <dataValidation sqref="K6:K25" showDropDown="0" showInputMessage="0" showErrorMessage="0" allowBlank="1" type="list">
      <formula1>=Paramètres!$G$5:$G$10</formula1>
    </dataValidation>
  </dataValidations>
  <printOptions horizontalCentered="1"/>
  <pageMargins left="0.5" right="0.5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30" customWidth="1" min="3" max="3"/>
    <col width="3" customWidth="1" min="4" max="4"/>
    <col width="22" customWidth="1" min="5" max="5"/>
    <col width="18" customWidth="1" min="6" max="6"/>
    <col width="26" customWidth="1" min="7" max="7"/>
  </cols>
  <sheetData>
    <row r="2">
      <c r="B2" s="39" t="inlineStr">
        <is>
          <t>Paramètres du tableau de bord</t>
        </is>
      </c>
    </row>
    <row r="4">
      <c r="B4" s="40" t="inlineStr">
        <is>
          <t>Période analysée</t>
        </is>
      </c>
      <c r="C4" s="40" t="n"/>
      <c r="E4" s="41" t="inlineStr">
        <is>
          <t>Services</t>
        </is>
      </c>
      <c r="F4" s="41" t="inlineStr">
        <is>
          <t>Contrats</t>
        </is>
      </c>
      <c r="G4" s="41" t="inlineStr">
        <is>
          <t>Motifs de sortie</t>
        </is>
      </c>
    </row>
    <row r="5">
      <c r="B5" s="42" t="inlineStr">
        <is>
          <t>Entreprise</t>
        </is>
      </c>
      <c r="C5" s="43" t="inlineStr">
        <is>
          <t>Atelier Numérique, 69001 Lyon</t>
        </is>
      </c>
      <c r="E5" s="42" t="inlineStr">
        <is>
          <t>Direction</t>
        </is>
      </c>
      <c r="F5" s="42" t="inlineStr">
        <is>
          <t>CDI</t>
        </is>
      </c>
      <c r="G5" s="42" t="inlineStr">
        <is>
          <t>Démission</t>
        </is>
      </c>
    </row>
    <row r="6">
      <c r="B6" s="42" t="inlineStr">
        <is>
          <t>Début de la période</t>
        </is>
      </c>
      <c r="C6" s="44" t="n">
        <v>46023</v>
      </c>
      <c r="E6" s="42" t="inlineStr">
        <is>
          <t>Commercial</t>
        </is>
      </c>
      <c r="F6" s="42" t="inlineStr">
        <is>
          <t>CDD</t>
        </is>
      </c>
      <c r="G6" s="42" t="inlineStr">
        <is>
          <t>Fin de CDD</t>
        </is>
      </c>
    </row>
    <row r="7">
      <c r="B7" s="42" t="inlineStr">
        <is>
          <t>Fin de la période (date d'arrêté)</t>
        </is>
      </c>
      <c r="C7" s="44" t="n">
        <v>46295</v>
      </c>
      <c r="E7" s="42" t="inlineStr">
        <is>
          <t>Production</t>
        </is>
      </c>
      <c r="F7" s="42" t="inlineStr">
        <is>
          <t>Alternance</t>
        </is>
      </c>
      <c r="G7" s="42" t="inlineStr">
        <is>
          <t>Rupture conventionnelle</t>
        </is>
      </c>
    </row>
    <row r="8">
      <c r="B8" s="42" t="inlineStr">
        <is>
          <t>Jours travaillés théoriques par an (temps plein)</t>
        </is>
      </c>
      <c r="C8" s="45" t="n">
        <v>227</v>
      </c>
      <c r="E8" s="42" t="inlineStr">
        <is>
          <t>Administratif</t>
        </is>
      </c>
      <c r="F8" s="42" t="n"/>
      <c r="G8" s="42" t="inlineStr">
        <is>
          <t>Licenciement</t>
        </is>
      </c>
    </row>
    <row r="9" ht="40" customHeight="1">
      <c r="B9" s="46" t="inlineStr">
        <is>
          <t>2026 : 261 jours du lundi au vendredi, moins 9 jours fériés en semaine et 25 jours ouvrés de congés payés = 227. Adaptez selon vos RTT et votre convention.</t>
        </is>
      </c>
      <c r="E9" s="42" t="n"/>
      <c r="G9" s="42" t="inlineStr">
        <is>
          <t>Retraite</t>
        </is>
      </c>
    </row>
    <row r="10">
      <c r="E10" s="42" t="n"/>
      <c r="G10" s="42" t="inlineStr">
        <is>
          <t>Fin de période d'essai</t>
        </is>
      </c>
    </row>
    <row r="12">
      <c r="E12" s="47" t="inlineStr">
        <is>
          <t>Sexe</t>
        </is>
      </c>
    </row>
    <row r="13">
      <c r="E13" s="48" t="inlineStr">
        <is>
          <t>F</t>
        </is>
      </c>
    </row>
    <row r="14">
      <c r="E14" s="48" t="inlineStr">
        <is>
          <t>H</t>
        </is>
      </c>
    </row>
  </sheetData>
  <mergeCells count="1">
    <mergeCell ref="B9:C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39" t="inlineStr">
        <is>
          <t>Mode d'emploi du tableau de bord RH</t>
        </is>
      </c>
    </row>
    <row r="4">
      <c r="B4" s="49" t="inlineStr">
        <is>
          <t>1. La période</t>
        </is>
      </c>
    </row>
    <row r="5" ht="30" customHeight="1">
      <c r="B5" s="50" t="inlineStr">
        <is>
          <t>Dans « Paramètres », indiquez le début de la période analysée et la date d'arrêté. Pour un bilan annuel, du 1er janvier au 31 décembre ; pour un suivi en cours d'année, arrêtez à la fin du dernier mois écoulé.</t>
        </is>
      </c>
    </row>
    <row r="7">
      <c r="B7" s="49" t="inlineStr">
        <is>
          <t>2. Les jours théoriques</t>
        </is>
      </c>
    </row>
    <row r="8" ht="30" customHeight="1">
      <c r="B8" s="50" t="inlineStr">
        <is>
          <t>Indiquez le nombre de jours travaillés théoriques d'un temps plein sur l'année. Il sert au taux d'absentéisme, proratisé selon le temps de travail et la présence de chacun.</t>
        </is>
      </c>
    </row>
    <row r="10">
      <c r="B10" s="49" t="inlineStr">
        <is>
          <t>3. Le registre</t>
        </is>
      </c>
    </row>
    <row r="11" ht="45" customHeight="1">
      <c r="B11" s="50" t="inlineStr">
        <is>
          <t>Sur « Salariés », une ligne par salarié, y compris ceux qui sont partis pendant la période : sexe, naissance, service, poste, contrat, temps de travail, dates d'entrée et de sortie, brut mensuel, jours d'absence et heures de formation de la période. Les colonnes grises se calculent.</t>
        </is>
      </c>
    </row>
    <row r="13">
      <c r="B13" s="49" t="inlineStr">
        <is>
          <t>4. Le tableau de bord</t>
        </is>
      </c>
    </row>
    <row r="14" ht="30" customHeight="1">
      <c r="B14" s="50" t="inlineStr">
        <is>
          <t>Les tuiles et le tableau des indicateurs se mettent à jour seuls. Chaque indicateur est accompagné de sa formule, pour pouvoir l'expliquer en comité de direction ou au CSE.</t>
        </is>
      </c>
    </row>
    <row r="16">
      <c r="B16" s="49" t="inlineStr">
        <is>
          <t>5. Les absences</t>
        </is>
      </c>
    </row>
    <row r="17" ht="45" customHeight="1">
      <c r="B17" s="50" t="inlineStr">
        <is>
          <t>Comptez les jours d'absence que vous voulez suivre : en général maladie, accidents du travail et absences injustifiées, hors congés payés et formation. Gardez la même règle d'une période à l'autre pour comparer.</t>
        </is>
      </c>
    </row>
    <row r="19">
      <c r="B19" s="49" t="inlineStr">
        <is>
          <t>6. Les données personnelles</t>
        </is>
      </c>
    </row>
    <row r="20" ht="30" customHeight="1">
      <c r="B20" s="50" t="inlineStr">
        <is>
          <t>Le registre contient des données personnelles : limitez son accès aux personnes qui en ont besoin et ne le partagez pas en lien public.</t>
        </is>
      </c>
    </row>
    <row r="22">
      <c r="B22" s="49" t="inlineStr">
        <is>
          <t>Pour aller plus loin</t>
        </is>
      </c>
    </row>
    <row r="23" ht="15" customHeight="1">
      <c r="B23" s="50" t="inlineStr">
        <is>
          <t>Ce modèle est proposé gratuitement par Digitiz : https://digitiz.fr/modeles/tableau-de-bord-rh/</t>
        </is>
      </c>
    </row>
  </sheetData>
  <pageMargins left="0.75" right="0.75" top="1" bottom="1" header="0.5" footer="0.5"/>
</worksheet>
</file>