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 de pointag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Mode d'emploi" sheetId="3" state="visible" r:id="rId3"/>
  </sheets>
  <definedNames>
    <definedName name="_xlnm.Print_Area" localSheetId="0">'Feuille de pointage'!$A$1:$K$63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0.0#"/>
    <numFmt numFmtId="167" formatCode="#,##0.00&quot; €&quot;"/>
    <numFmt numFmtId="168" formatCode="hh:mm"/>
    <numFmt numFmtId="169" formatCode="[h]:mm;-[h]:mm;&quot;&quot;"/>
    <numFmt numFmtId="170" formatCode="0.0#&quot; h&quot;"/>
  </numFmts>
  <fonts count="20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b val="1"/>
      <color rgb="00FFFFFF"/>
      <sz val="11"/>
    </font>
    <font>
      <name val="Arial"/>
      <color rgb="001B2B3A"/>
      <sz val="10"/>
    </font>
    <font>
      <name val="Arial"/>
      <b val="1"/>
      <color rgb="0012CC96"/>
      <sz val="10"/>
    </font>
    <font>
      <name val="Arial"/>
      <b val="1"/>
      <color rgb="001B2B3A"/>
      <sz val="20"/>
    </font>
    <font>
      <name val="Arial"/>
      <b val="1"/>
      <color rgb="0012CC96"/>
      <sz val="12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1B2B3A"/>
      <sz val="11"/>
    </font>
    <font>
      <name val="Arial"/>
      <b val="1"/>
      <color rgb="001B2B3A"/>
      <sz val="8"/>
    </font>
    <font>
      <name val="Arial"/>
      <color rgb="001B2B3A"/>
      <sz val="9"/>
    </font>
    <font>
      <name val="Arial"/>
      <color rgb="0012CC96"/>
      <sz val="9"/>
    </font>
    <font>
      <name val="Arial"/>
      <b val="1"/>
      <color rgb="001B2B3A"/>
      <sz val="9"/>
    </font>
    <font>
      <name val="Arial"/>
      <b val="1"/>
      <color rgb="00C2410C"/>
      <sz val="8"/>
    </font>
    <font>
      <name val="Arial"/>
      <b val="1"/>
      <color rgb="00FFFFFF"/>
      <sz val="9"/>
    </font>
    <font>
      <name val="Arial"/>
      <b val="1"/>
      <color rgb="0012CC96"/>
      <sz val="8"/>
    </font>
    <font>
      <name val="Arial"/>
      <b val="1"/>
      <color rgb="0012CC96"/>
      <sz val="9"/>
    </font>
    <font>
      <name val="Arial"/>
      <b val="1"/>
      <color rgb="001B2B3A"/>
      <sz val="10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B2B3A"/>
        <bgColor rgb="001B2B3A"/>
      </patternFill>
    </fill>
    <fill>
      <patternFill patternType="solid">
        <fgColor rgb="00D9EDDF"/>
        <bgColor rgb="00D9EDDF"/>
      </patternFill>
    </fill>
    <fill>
      <patternFill patternType="solid">
        <fgColor rgb="00F3F4F6"/>
        <bgColor rgb="00F3F4F6"/>
      </patternFill>
    </fill>
  </fills>
  <borders count="8">
    <border>
      <left/>
      <right/>
      <top/>
      <bottom/>
      <diagonal/>
    </border>
    <border>
      <bottom style="thin">
        <color rgb="00D1D5DB"/>
      </bottom>
    </border>
    <border>
      <top style="thin">
        <color rgb="0012CC96"/>
      </top>
      <bottom style="thin">
        <color rgb="0012CC96"/>
      </bottom>
    </border>
    <border>
      <top style="thin">
        <color rgb="006B7280"/>
      </top>
      <bottom style="thin">
        <color rgb="00D1D5DB"/>
      </bottom>
    </border>
    <border>
      <left/>
      <right/>
      <top style="thin">
        <color rgb="0012CC96"/>
      </top>
      <bottom/>
      <diagonal/>
    </border>
    <border>
      <left/>
      <right/>
      <top style="thin">
        <color rgb="0012CC96"/>
      </top>
      <bottom style="thin">
        <color rgb="0012CC96"/>
      </bottom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D1D5DB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wrapText="1"/>
    </xf>
    <xf numFmtId="0" fontId="10" fillId="3" borderId="2" applyAlignment="1" pivotButton="0" quotePrefix="0" xfId="0">
      <alignment horizontal="left" vertical="center" wrapText="1"/>
    </xf>
    <xf numFmtId="0" fontId="10" fillId="3" borderId="2" applyAlignment="1" pivotButton="0" quotePrefix="0" xfId="0">
      <alignment horizontal="center" vertical="center" wrapText="1"/>
    </xf>
    <xf numFmtId="165" fontId="11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168" fontId="12" fillId="0" borderId="1" applyAlignment="1" pivotButton="0" quotePrefix="0" xfId="0">
      <alignment horizontal="center" vertical="center" wrapText="1"/>
    </xf>
    <xf numFmtId="169" fontId="13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165" fontId="11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168" fontId="12" fillId="4" borderId="1" applyAlignment="1" pivotButton="0" quotePrefix="0" xfId="0">
      <alignment horizontal="center" vertical="center" wrapText="1"/>
    </xf>
    <xf numFmtId="169" fontId="13" fillId="4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14" fillId="4" borderId="1" applyAlignment="1" pivotButton="0" quotePrefix="0" xfId="0">
      <alignment horizontal="left" vertical="center" wrapText="1"/>
    </xf>
    <xf numFmtId="165" fontId="11" fillId="0" borderId="3" applyAlignment="1" pivotButton="0" quotePrefix="0" xfId="0">
      <alignment horizontal="left" vertical="center" wrapText="1"/>
    </xf>
    <xf numFmtId="0" fontId="7" fillId="0" borderId="3" applyAlignment="1" pivotButton="0" quotePrefix="0" xfId="0">
      <alignment horizontal="center" vertical="center" wrapText="1"/>
    </xf>
    <xf numFmtId="168" fontId="12" fillId="0" borderId="3" applyAlignment="1" pivotButton="0" quotePrefix="0" xfId="0">
      <alignment horizontal="center" vertical="center" wrapText="1"/>
    </xf>
    <xf numFmtId="169" fontId="13" fillId="0" borderId="3" applyAlignment="1" pivotButton="0" quotePrefix="0" xfId="0">
      <alignment horizontal="center" vertical="center" wrapText="1"/>
    </xf>
    <xf numFmtId="0" fontId="13" fillId="0" borderId="3" applyAlignment="1" pivotButton="0" quotePrefix="0" xfId="0">
      <alignment horizontal="center" vertical="center" wrapText="1"/>
    </xf>
    <xf numFmtId="0" fontId="14" fillId="0" borderId="3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169" fontId="15" fillId="2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center" wrapText="1"/>
    </xf>
    <xf numFmtId="0" fontId="0" fillId="0" borderId="5" pivotButton="0" quotePrefix="0" xfId="0"/>
    <xf numFmtId="0" fontId="1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9" fontId="11" fillId="0" borderId="1" applyAlignment="1" pivotButton="0" quotePrefix="0" xfId="0">
      <alignment horizontal="center" vertical="center" wrapText="1"/>
    </xf>
    <xf numFmtId="169" fontId="17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169" fontId="18" fillId="0" borderId="1" applyAlignment="1" pivotButton="0" quotePrefix="0" xfId="0">
      <alignment horizontal="right" vertical="center"/>
    </xf>
    <xf numFmtId="170" fontId="18" fillId="0" borderId="1" applyAlignment="1" pivotButton="0" quotePrefix="0" xfId="0">
      <alignment horizontal="right" vertical="center"/>
    </xf>
    <xf numFmtId="1" fontId="18" fillId="0" borderId="1" applyAlignment="1" pivotButton="0" quotePrefix="0" xfId="0">
      <alignment horizontal="right" vertical="center"/>
    </xf>
    <xf numFmtId="167" fontId="18" fillId="0" borderId="1" applyAlignment="1" pivotButton="0" quotePrefix="0" xfId="0">
      <alignment horizontal="right" vertical="center"/>
    </xf>
    <xf numFmtId="0" fontId="16" fillId="0" borderId="0" pivotButton="0" quotePrefix="0" xfId="0"/>
    <xf numFmtId="0" fontId="0" fillId="0" borderId="6" pivotButton="0" quotePrefix="0" xfId="0"/>
    <xf numFmtId="0" fontId="19" fillId="0" borderId="7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left" vertical="center" wrapText="1"/>
    </xf>
    <xf numFmtId="9" fontId="4" fillId="0" borderId="1" applyAlignment="1" pivotButton="0" quotePrefix="0" xfId="0">
      <alignment horizontal="left" vertical="center" wrapText="1"/>
    </xf>
    <xf numFmtId="167" fontId="4" fillId="0" borderId="1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left" vertical="center" wrapText="1"/>
    </xf>
    <xf numFmtId="0" fontId="9" fillId="0" borderId="0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name val="Arial"/>
        <b val="1"/>
        <color rgb="00C2410C"/>
        <sz val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J6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.5" customWidth="1" min="1" max="1"/>
    <col width="11" customWidth="1" min="2" max="2"/>
    <col width="6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8" customWidth="1" min="9" max="9"/>
    <col width="22" customWidth="1" min="10" max="10"/>
    <col width="1.5" customWidth="1" min="11" max="11"/>
  </cols>
  <sheetData>
    <row r="2">
      <c r="B2" s="1" t="inlineStr">
        <is>
          <t>FEUILLE DE POINTAGE</t>
        </is>
      </c>
      <c r="G2" s="2" t="inlineStr">
        <is>
          <t>Période</t>
        </is>
      </c>
    </row>
    <row r="3">
      <c r="B3" s="3">
        <f>Paramètres!$C$6&amp;", "&amp;Paramètres!$C$7</f>
        <v/>
      </c>
      <c r="G3" s="4">
        <f>"du "&amp;DAY(Paramètres!$C$8)&amp;"/"&amp;MONTH(Paramètres!$C$8)&amp;"/"&amp;YEAR(Paramètres!$C$8)&amp;" au "&amp;DAY(Paramètres!$C$8+34)&amp;"/"&amp;MONTH(Paramètres!$C$8+34)&amp;"/"&amp;YEAR(Paramètres!$C$8+34)</f>
        <v/>
      </c>
    </row>
    <row r="4">
      <c r="B4" s="5">
        <f>Paramètres!$C$5</f>
        <v/>
      </c>
    </row>
    <row r="6" ht="24" customHeight="1">
      <c r="B6" s="6" t="inlineStr">
        <is>
          <t>Date</t>
        </is>
      </c>
      <c r="C6" s="7" t="inlineStr">
        <is>
          <t>Jour</t>
        </is>
      </c>
      <c r="D6" s="7" t="inlineStr">
        <is>
          <t>Arrivée</t>
        </is>
      </c>
      <c r="E6" s="7" t="inlineStr">
        <is>
          <t>Début pause</t>
        </is>
      </c>
      <c r="F6" s="7" t="inlineStr">
        <is>
          <t>Fin pause</t>
        </is>
      </c>
      <c r="G6" s="7" t="inlineStr">
        <is>
          <t>Départ</t>
        </is>
      </c>
      <c r="H6" s="7" t="inlineStr">
        <is>
          <t>Heures</t>
        </is>
      </c>
      <c r="I6" s="7" t="inlineStr">
        <is>
          <t>Absence</t>
        </is>
      </c>
      <c r="J6" s="6" t="inlineStr">
        <is>
          <t>Contrôle</t>
        </is>
      </c>
    </row>
    <row r="7" ht="14" customHeight="1">
      <c r="B7" s="8">
        <f>Paramètres!$C$8+0</f>
        <v/>
      </c>
      <c r="C7" s="9">
        <f>CHOOSE(WEEKDAY(B7,2),"Lun","Mar","Mer","Jeu","Ven","Sam","Dim")</f>
        <v/>
      </c>
      <c r="D7" s="10" t="n">
        <v>0.3333333333333333</v>
      </c>
      <c r="E7" s="10" t="n">
        <v>0.5</v>
      </c>
      <c r="F7" s="10" t="n">
        <v>0.5416666666666666</v>
      </c>
      <c r="G7" s="10" t="n">
        <v>0.6666666666666666</v>
      </c>
      <c r="H7" s="11">
        <f>IF(OR(D7="",G7=""),0,MOD(G7-D7,1)-(F7-E7))</f>
        <v/>
      </c>
      <c r="I7" s="12" t="n"/>
      <c r="J7" s="13">
        <f>TRIM(IF(ROUND(H7*1440,0)&gt;600,"Plus de 10 h ","")&amp;IF(AND(ROUND(H7*1440,0)&gt;=360,ROUND((F7-E7)*1440,0)&lt;20),"Pause &lt; 20 min ","")&amp;IF(FALSE,"Repos &lt; 11 h",""))</f>
        <v/>
      </c>
    </row>
    <row r="8" ht="14" customHeight="1">
      <c r="B8" s="8">
        <f>Paramètres!$C$8+1</f>
        <v/>
      </c>
      <c r="C8" s="9">
        <f>CHOOSE(WEEKDAY(B8,2),"Lun","Mar","Mer","Jeu","Ven","Sam","Dim")</f>
        <v/>
      </c>
      <c r="D8" s="10" t="n">
        <v>0.3333333333333333</v>
      </c>
      <c r="E8" s="10" t="n">
        <v>0.5</v>
      </c>
      <c r="F8" s="10" t="n">
        <v>0.5416666666666666</v>
      </c>
      <c r="G8" s="10" t="n">
        <v>0.6666666666666666</v>
      </c>
      <c r="H8" s="11">
        <f>IF(OR(D8="",G8=""),0,MOD(G8-D8,1)-(F8-E8))</f>
        <v/>
      </c>
      <c r="I8" s="12" t="n"/>
      <c r="J8" s="13">
        <f>TRIM(IF(ROUND(H8*1440,0)&gt;600,"Plus de 10 h ","")&amp;IF(AND(ROUND(H8*1440,0)&gt;=360,ROUND((F8-E8)*1440,0)&lt;20),"Pause &lt; 20 min ","")&amp;IF(IF(AND(G7&lt;&gt;"",D8&lt;&gt;""),ROUND((1+D8-G7)*1440,0)&lt;660,FALSE),"Repos &lt; 11 h",""))</f>
        <v/>
      </c>
    </row>
    <row r="9" ht="14" customHeight="1">
      <c r="B9" s="8">
        <f>Paramètres!$C$8+2</f>
        <v/>
      </c>
      <c r="C9" s="9">
        <f>CHOOSE(WEEKDAY(B9,2),"Lun","Mar","Mer","Jeu","Ven","Sam","Dim")</f>
        <v/>
      </c>
      <c r="D9" s="10" t="n">
        <v>0.3333333333333333</v>
      </c>
      <c r="E9" s="10" t="n">
        <v>0.5</v>
      </c>
      <c r="F9" s="10" t="n">
        <v>0.5416666666666666</v>
      </c>
      <c r="G9" s="10" t="n">
        <v>0.6666666666666666</v>
      </c>
      <c r="H9" s="11">
        <f>IF(OR(D9="",G9=""),0,MOD(G9-D9,1)-(F9-E9))</f>
        <v/>
      </c>
      <c r="I9" s="12" t="n"/>
      <c r="J9" s="13">
        <f>TRIM(IF(ROUND(H9*1440,0)&gt;600,"Plus de 10 h ","")&amp;IF(AND(ROUND(H9*1440,0)&gt;=360,ROUND((F9-E9)*1440,0)&lt;20),"Pause &lt; 20 min ","")&amp;IF(IF(AND(G8&lt;&gt;"",D9&lt;&gt;""),ROUND((1+D9-G8)*1440,0)&lt;660,FALSE),"Repos &lt; 11 h",""))</f>
        <v/>
      </c>
    </row>
    <row r="10" ht="14" customHeight="1">
      <c r="B10" s="8">
        <f>Paramètres!$C$8+3</f>
        <v/>
      </c>
      <c r="C10" s="9">
        <f>CHOOSE(WEEKDAY(B10,2),"Lun","Mar","Mer","Jeu","Ven","Sam","Dim")</f>
        <v/>
      </c>
      <c r="D10" s="10" t="n">
        <v>0.3333333333333333</v>
      </c>
      <c r="E10" s="10" t="n">
        <v>0.5</v>
      </c>
      <c r="F10" s="10" t="n">
        <v>0.5416666666666666</v>
      </c>
      <c r="G10" s="10" t="n">
        <v>0.6666666666666666</v>
      </c>
      <c r="H10" s="11">
        <f>IF(OR(D10="",G10=""),0,MOD(G10-D10,1)-(F10-E10))</f>
        <v/>
      </c>
      <c r="I10" s="12" t="n"/>
      <c r="J10" s="13">
        <f>TRIM(IF(ROUND(H10*1440,0)&gt;600,"Plus de 10 h ","")&amp;IF(AND(ROUND(H10*1440,0)&gt;=360,ROUND((F10-E10)*1440,0)&lt;20),"Pause &lt; 20 min ","")&amp;IF(IF(AND(G9&lt;&gt;"",D10&lt;&gt;""),ROUND((1+D10-G9)*1440,0)&lt;660,FALSE),"Repos &lt; 11 h",""))</f>
        <v/>
      </c>
    </row>
    <row r="11" ht="14" customHeight="1">
      <c r="B11" s="8">
        <f>Paramètres!$C$8+4</f>
        <v/>
      </c>
      <c r="C11" s="9">
        <f>CHOOSE(WEEKDAY(B11,2),"Lun","Mar","Mer","Jeu","Ven","Sam","Dim")</f>
        <v/>
      </c>
      <c r="D11" s="10" t="n">
        <v>0.3333333333333333</v>
      </c>
      <c r="E11" s="10" t="n">
        <v>0.5</v>
      </c>
      <c r="F11" s="10" t="n">
        <v>0.5416666666666666</v>
      </c>
      <c r="G11" s="10" t="n">
        <v>0.6666666666666666</v>
      </c>
      <c r="H11" s="11">
        <f>IF(OR(D11="",G11=""),0,MOD(G11-D11,1)-(F11-E11))</f>
        <v/>
      </c>
      <c r="I11" s="12" t="n"/>
      <c r="J11" s="13">
        <f>TRIM(IF(ROUND(H11*1440,0)&gt;600,"Plus de 10 h ","")&amp;IF(AND(ROUND(H11*1440,0)&gt;=360,ROUND((F11-E11)*1440,0)&lt;20),"Pause &lt; 20 min ","")&amp;IF(IF(AND(G10&lt;&gt;"",D11&lt;&gt;""),ROUND((1+D11-G10)*1440,0)&lt;660,FALSE),"Repos &lt; 11 h",""))</f>
        <v/>
      </c>
    </row>
    <row r="12" ht="14" customHeight="1">
      <c r="B12" s="14">
        <f>Paramètres!$C$8+5</f>
        <v/>
      </c>
      <c r="C12" s="15">
        <f>CHOOSE(WEEKDAY(B12,2),"Lun","Mar","Mer","Jeu","Ven","Sam","Dim")</f>
        <v/>
      </c>
      <c r="D12" s="16" t="n"/>
      <c r="E12" s="16" t="n"/>
      <c r="F12" s="16" t="n"/>
      <c r="G12" s="16" t="n"/>
      <c r="H12" s="17">
        <f>IF(OR(D12="",G12=""),0,MOD(G12-D12,1)-(F12-E12))</f>
        <v/>
      </c>
      <c r="I12" s="18" t="n"/>
      <c r="J12" s="19">
        <f>TRIM(IF(ROUND(H12*1440,0)&gt;600,"Plus de 10 h ","")&amp;IF(AND(ROUND(H12*1440,0)&gt;=360,ROUND((F12-E12)*1440,0)&lt;20),"Pause &lt; 20 min ","")&amp;IF(IF(AND(G11&lt;&gt;"",D12&lt;&gt;""),ROUND((1+D12-G11)*1440,0)&lt;660,FALSE),"Repos &lt; 11 h",""))</f>
        <v/>
      </c>
    </row>
    <row r="13" ht="14" customHeight="1">
      <c r="B13" s="14">
        <f>Paramètres!$C$8+6</f>
        <v/>
      </c>
      <c r="C13" s="15">
        <f>CHOOSE(WEEKDAY(B13,2),"Lun","Mar","Mer","Jeu","Ven","Sam","Dim")</f>
        <v/>
      </c>
      <c r="D13" s="16" t="n"/>
      <c r="E13" s="16" t="n"/>
      <c r="F13" s="16" t="n"/>
      <c r="G13" s="16" t="n"/>
      <c r="H13" s="17">
        <f>IF(OR(D13="",G13=""),0,MOD(G13-D13,1)-(F13-E13))</f>
        <v/>
      </c>
      <c r="I13" s="18" t="n"/>
      <c r="J13" s="19">
        <f>TRIM(IF(ROUND(H13*1440,0)&gt;600,"Plus de 10 h ","")&amp;IF(AND(ROUND(H13*1440,0)&gt;=360,ROUND((F13-E13)*1440,0)&lt;20),"Pause &lt; 20 min ","")&amp;IF(IF(AND(G12&lt;&gt;"",D13&lt;&gt;""),ROUND((1+D13-G12)*1440,0)&lt;660,FALSE),"Repos &lt; 11 h",""))</f>
        <v/>
      </c>
    </row>
    <row r="14" ht="14" customHeight="1">
      <c r="B14" s="20">
        <f>Paramètres!$C$8+7</f>
        <v/>
      </c>
      <c r="C14" s="21">
        <f>CHOOSE(WEEKDAY(B14,2),"Lun","Mar","Mer","Jeu","Ven","Sam","Dim")</f>
        <v/>
      </c>
      <c r="D14" s="22" t="n">
        <v>0.3333333333333333</v>
      </c>
      <c r="E14" s="22" t="n">
        <v>0.5</v>
      </c>
      <c r="F14" s="22" t="n">
        <v>0.53125</v>
      </c>
      <c r="G14" s="22" t="n">
        <v>0.7291666666666666</v>
      </c>
      <c r="H14" s="23">
        <f>IF(OR(D14="",G14=""),0,MOD(G14-D14,1)-(F14-E14))</f>
        <v/>
      </c>
      <c r="I14" s="24" t="n"/>
      <c r="J14" s="25">
        <f>TRIM(IF(ROUND(H14*1440,0)&gt;600,"Plus de 10 h ","")&amp;IF(AND(ROUND(H14*1440,0)&gt;=360,ROUND((F14-E14)*1440,0)&lt;20),"Pause &lt; 20 min ","")&amp;IF(IF(AND(G13&lt;&gt;"",D14&lt;&gt;""),ROUND((1+D14-G13)*1440,0)&lt;660,FALSE),"Repos &lt; 11 h",""))</f>
        <v/>
      </c>
    </row>
    <row r="15" ht="14" customHeight="1">
      <c r="B15" s="8">
        <f>Paramètres!$C$8+8</f>
        <v/>
      </c>
      <c r="C15" s="9">
        <f>CHOOSE(WEEKDAY(B15,2),"Lun","Mar","Mer","Jeu","Ven","Sam","Dim")</f>
        <v/>
      </c>
      <c r="D15" s="10" t="n">
        <v>0.3333333333333333</v>
      </c>
      <c r="E15" s="10" t="n">
        <v>0.5</v>
      </c>
      <c r="F15" s="10" t="n">
        <v>0.53125</v>
      </c>
      <c r="G15" s="10" t="n">
        <v>0.7291666666666666</v>
      </c>
      <c r="H15" s="11">
        <f>IF(OR(D15="",G15=""),0,MOD(G15-D15,1)-(F15-E15))</f>
        <v/>
      </c>
      <c r="I15" s="12" t="n"/>
      <c r="J15" s="13">
        <f>TRIM(IF(ROUND(H15*1440,0)&gt;600,"Plus de 10 h ","")&amp;IF(AND(ROUND(H15*1440,0)&gt;=360,ROUND((F15-E15)*1440,0)&lt;20),"Pause &lt; 20 min ","")&amp;IF(IF(AND(G14&lt;&gt;"",D15&lt;&gt;""),ROUND((1+D15-G14)*1440,0)&lt;660,FALSE),"Repos &lt; 11 h",""))</f>
        <v/>
      </c>
    </row>
    <row r="16" ht="14" customHeight="1">
      <c r="B16" s="8">
        <f>Paramètres!$C$8+9</f>
        <v/>
      </c>
      <c r="C16" s="9">
        <f>CHOOSE(WEEKDAY(B16,2),"Lun","Mar","Mer","Jeu","Ven","Sam","Dim")</f>
        <v/>
      </c>
      <c r="D16" s="10" t="n">
        <v>0.3333333333333333</v>
      </c>
      <c r="E16" s="10" t="n">
        <v>0.5</v>
      </c>
      <c r="F16" s="10" t="n">
        <v>0.5416666666666666</v>
      </c>
      <c r="G16" s="10" t="n">
        <v>0.7083333333333334</v>
      </c>
      <c r="H16" s="11">
        <f>IF(OR(D16="",G16=""),0,MOD(G16-D16,1)-(F16-E16))</f>
        <v/>
      </c>
      <c r="I16" s="12" t="n"/>
      <c r="J16" s="13">
        <f>TRIM(IF(ROUND(H16*1440,0)&gt;600,"Plus de 10 h ","")&amp;IF(AND(ROUND(H16*1440,0)&gt;=360,ROUND((F16-E16)*1440,0)&lt;20),"Pause &lt; 20 min ","")&amp;IF(IF(AND(G15&lt;&gt;"",D16&lt;&gt;""),ROUND((1+D16-G15)*1440,0)&lt;660,FALSE),"Repos &lt; 11 h",""))</f>
        <v/>
      </c>
    </row>
    <row r="17" ht="14" customHeight="1">
      <c r="B17" s="8">
        <f>Paramètres!$C$8+10</f>
        <v/>
      </c>
      <c r="C17" s="9">
        <f>CHOOSE(WEEKDAY(B17,2),"Lun","Mar","Mer","Jeu","Ven","Sam","Dim")</f>
        <v/>
      </c>
      <c r="D17" s="10" t="n">
        <v>0.3333333333333333</v>
      </c>
      <c r="E17" s="10" t="n">
        <v>0.5</v>
      </c>
      <c r="F17" s="10" t="n">
        <v>0.5416666666666666</v>
      </c>
      <c r="G17" s="10" t="n">
        <v>0.7083333333333334</v>
      </c>
      <c r="H17" s="11">
        <f>IF(OR(D17="",G17=""),0,MOD(G17-D17,1)-(F17-E17))</f>
        <v/>
      </c>
      <c r="I17" s="12" t="n"/>
      <c r="J17" s="13">
        <f>TRIM(IF(ROUND(H17*1440,0)&gt;600,"Plus de 10 h ","")&amp;IF(AND(ROUND(H17*1440,0)&gt;=360,ROUND((F17-E17)*1440,0)&lt;20),"Pause &lt; 20 min ","")&amp;IF(IF(AND(G16&lt;&gt;"",D17&lt;&gt;""),ROUND((1+D17-G16)*1440,0)&lt;660,FALSE),"Repos &lt; 11 h",""))</f>
        <v/>
      </c>
    </row>
    <row r="18" ht="14" customHeight="1">
      <c r="B18" s="8">
        <f>Paramètres!$C$8+11</f>
        <v/>
      </c>
      <c r="C18" s="9">
        <f>CHOOSE(WEEKDAY(B18,2),"Lun","Mar","Mer","Jeu","Ven","Sam","Dim")</f>
        <v/>
      </c>
      <c r="D18" s="10" t="n">
        <v>0.3333333333333333</v>
      </c>
      <c r="E18" s="10" t="n">
        <v>0.5</v>
      </c>
      <c r="F18" s="10" t="n">
        <v>0.5416666666666666</v>
      </c>
      <c r="G18" s="10" t="n">
        <v>0.6666666666666666</v>
      </c>
      <c r="H18" s="11">
        <f>IF(OR(D18="",G18=""),0,MOD(G18-D18,1)-(F18-E18))</f>
        <v/>
      </c>
      <c r="I18" s="12" t="n"/>
      <c r="J18" s="13">
        <f>TRIM(IF(ROUND(H18*1440,0)&gt;600,"Plus de 10 h ","")&amp;IF(AND(ROUND(H18*1440,0)&gt;=360,ROUND((F18-E18)*1440,0)&lt;20),"Pause &lt; 20 min ","")&amp;IF(IF(AND(G17&lt;&gt;"",D18&lt;&gt;""),ROUND((1+D18-G17)*1440,0)&lt;660,FALSE),"Repos &lt; 11 h",""))</f>
        <v/>
      </c>
    </row>
    <row r="19" ht="14" customHeight="1">
      <c r="B19" s="14">
        <f>Paramètres!$C$8+12</f>
        <v/>
      </c>
      <c r="C19" s="15">
        <f>CHOOSE(WEEKDAY(B19,2),"Lun","Mar","Mer","Jeu","Ven","Sam","Dim")</f>
        <v/>
      </c>
      <c r="D19" s="16" t="n">
        <v>0.3333333333333333</v>
      </c>
      <c r="E19" s="16" t="n"/>
      <c r="F19" s="16" t="n"/>
      <c r="G19" s="16" t="n">
        <v>0.5</v>
      </c>
      <c r="H19" s="17">
        <f>IF(OR(D19="",G19=""),0,MOD(G19-D19,1)-(F19-E19))</f>
        <v/>
      </c>
      <c r="I19" s="18" t="n"/>
      <c r="J19" s="19">
        <f>TRIM(IF(ROUND(H19*1440,0)&gt;600,"Plus de 10 h ","")&amp;IF(AND(ROUND(H19*1440,0)&gt;=360,ROUND((F19-E19)*1440,0)&lt;20),"Pause &lt; 20 min ","")&amp;IF(IF(AND(G18&lt;&gt;"",D19&lt;&gt;""),ROUND((1+D19-G18)*1440,0)&lt;660,FALSE),"Repos &lt; 11 h",""))</f>
        <v/>
      </c>
    </row>
    <row r="20" ht="14" customHeight="1">
      <c r="B20" s="14">
        <f>Paramètres!$C$8+13</f>
        <v/>
      </c>
      <c r="C20" s="15">
        <f>CHOOSE(WEEKDAY(B20,2),"Lun","Mar","Mer","Jeu","Ven","Sam","Dim")</f>
        <v/>
      </c>
      <c r="D20" s="16" t="n"/>
      <c r="E20" s="16" t="n"/>
      <c r="F20" s="16" t="n"/>
      <c r="G20" s="16" t="n"/>
      <c r="H20" s="17">
        <f>IF(OR(D20="",G20=""),0,MOD(G20-D20,1)-(F20-E20))</f>
        <v/>
      </c>
      <c r="I20" s="18" t="n"/>
      <c r="J20" s="19">
        <f>TRIM(IF(ROUND(H20*1440,0)&gt;600,"Plus de 10 h ","")&amp;IF(AND(ROUND(H20*1440,0)&gt;=360,ROUND((F20-E20)*1440,0)&lt;20),"Pause &lt; 20 min ","")&amp;IF(IF(AND(G19&lt;&gt;"",D20&lt;&gt;""),ROUND((1+D20-G19)*1440,0)&lt;660,FALSE),"Repos &lt; 11 h",""))</f>
        <v/>
      </c>
    </row>
    <row r="21" ht="14" customHeight="1">
      <c r="B21" s="20">
        <f>Paramètres!$C$8+14</f>
        <v/>
      </c>
      <c r="C21" s="21">
        <f>CHOOSE(WEEKDAY(B21,2),"Lun","Mar","Mer","Jeu","Ven","Sam","Dim")</f>
        <v/>
      </c>
      <c r="D21" s="22" t="n">
        <v>0.3125</v>
      </c>
      <c r="E21" s="22" t="n">
        <v>0.5208333333333334</v>
      </c>
      <c r="F21" s="22" t="n">
        <v>0.5416666666666666</v>
      </c>
      <c r="G21" s="22" t="n">
        <v>0.7708333333333334</v>
      </c>
      <c r="H21" s="23">
        <f>IF(OR(D21="",G21=""),0,MOD(G21-D21,1)-(F21-E21))</f>
        <v/>
      </c>
      <c r="I21" s="24" t="n"/>
      <c r="J21" s="25">
        <f>TRIM(IF(ROUND(H21*1440,0)&gt;600,"Plus de 10 h ","")&amp;IF(AND(ROUND(H21*1440,0)&gt;=360,ROUND((F21-E21)*1440,0)&lt;20),"Pause &lt; 20 min ","")&amp;IF(IF(AND(G20&lt;&gt;"",D21&lt;&gt;""),ROUND((1+D21-G20)*1440,0)&lt;660,FALSE),"Repos &lt; 11 h",""))</f>
        <v/>
      </c>
    </row>
    <row r="22" ht="14" customHeight="1">
      <c r="B22" s="8">
        <f>Paramètres!$C$8+15</f>
        <v/>
      </c>
      <c r="C22" s="9">
        <f>CHOOSE(WEEKDAY(B22,2),"Lun","Mar","Mer","Jeu","Ven","Sam","Dim")</f>
        <v/>
      </c>
      <c r="D22" s="10" t="n">
        <v>0.3333333333333333</v>
      </c>
      <c r="E22" s="10" t="n">
        <v>0.5</v>
      </c>
      <c r="F22" s="10" t="n">
        <v>0.5416666666666666</v>
      </c>
      <c r="G22" s="10" t="n">
        <v>0.7083333333333334</v>
      </c>
      <c r="H22" s="11">
        <f>IF(OR(D22="",G22=""),0,MOD(G22-D22,1)-(F22-E22))</f>
        <v/>
      </c>
      <c r="I22" s="12" t="n"/>
      <c r="J22" s="13">
        <f>TRIM(IF(ROUND(H22*1440,0)&gt;600,"Plus de 10 h ","")&amp;IF(AND(ROUND(H22*1440,0)&gt;=360,ROUND((F22-E22)*1440,0)&lt;20),"Pause &lt; 20 min ","")&amp;IF(IF(AND(G21&lt;&gt;"",D22&lt;&gt;""),ROUND((1+D22-G21)*1440,0)&lt;660,FALSE),"Repos &lt; 11 h",""))</f>
        <v/>
      </c>
    </row>
    <row r="23" ht="14" customHeight="1">
      <c r="B23" s="8">
        <f>Paramètres!$C$8+16</f>
        <v/>
      </c>
      <c r="C23" s="9">
        <f>CHOOSE(WEEKDAY(B23,2),"Lun","Mar","Mer","Jeu","Ven","Sam","Dim")</f>
        <v/>
      </c>
      <c r="D23" s="10" t="n"/>
      <c r="E23" s="10" t="n"/>
      <c r="F23" s="10" t="n"/>
      <c r="G23" s="10" t="n"/>
      <c r="H23" s="11">
        <f>IF(OR(D23="",G23=""),0,MOD(G23-D23,1)-(F23-E23))</f>
        <v/>
      </c>
      <c r="I23" s="12" t="inlineStr">
        <is>
          <t>CP</t>
        </is>
      </c>
      <c r="J23" s="13">
        <f>TRIM(IF(ROUND(H23*1440,0)&gt;600,"Plus de 10 h ","")&amp;IF(AND(ROUND(H23*1440,0)&gt;=360,ROUND((F23-E23)*1440,0)&lt;20),"Pause &lt; 20 min ","")&amp;IF(IF(AND(G22&lt;&gt;"",D23&lt;&gt;""),ROUND((1+D23-G22)*1440,0)&lt;660,FALSE),"Repos &lt; 11 h",""))</f>
        <v/>
      </c>
    </row>
    <row r="24" ht="14" customHeight="1">
      <c r="B24" s="8">
        <f>Paramètres!$C$8+17</f>
        <v/>
      </c>
      <c r="C24" s="9">
        <f>CHOOSE(WEEKDAY(B24,2),"Lun","Mar","Mer","Jeu","Ven","Sam","Dim")</f>
        <v/>
      </c>
      <c r="D24" s="10" t="n">
        <v>0.3333333333333333</v>
      </c>
      <c r="E24" s="10" t="n">
        <v>0.5</v>
      </c>
      <c r="F24" s="10" t="n">
        <v>0.5416666666666666</v>
      </c>
      <c r="G24" s="10" t="n">
        <v>0.7083333333333334</v>
      </c>
      <c r="H24" s="11">
        <f>IF(OR(D24="",G24=""),0,MOD(G24-D24,1)-(F24-E24))</f>
        <v/>
      </c>
      <c r="I24" s="12" t="n"/>
      <c r="J24" s="13">
        <f>TRIM(IF(ROUND(H24*1440,0)&gt;600,"Plus de 10 h ","")&amp;IF(AND(ROUND(H24*1440,0)&gt;=360,ROUND((F24-E24)*1440,0)&lt;20),"Pause &lt; 20 min ","")&amp;IF(IF(AND(G23&lt;&gt;"",D24&lt;&gt;""),ROUND((1+D24-G23)*1440,0)&lt;660,FALSE),"Repos &lt; 11 h",""))</f>
        <v/>
      </c>
    </row>
    <row r="25" ht="14" customHeight="1">
      <c r="B25" s="8">
        <f>Paramètres!$C$8+18</f>
        <v/>
      </c>
      <c r="C25" s="9">
        <f>CHOOSE(WEEKDAY(B25,2),"Lun","Mar","Mer","Jeu","Ven","Sam","Dim")</f>
        <v/>
      </c>
      <c r="D25" s="10" t="n">
        <v>0.3333333333333333</v>
      </c>
      <c r="E25" s="10" t="n">
        <v>0.5</v>
      </c>
      <c r="F25" s="10" t="n">
        <v>0.5416666666666666</v>
      </c>
      <c r="G25" s="10" t="n">
        <v>0.7083333333333334</v>
      </c>
      <c r="H25" s="11">
        <f>IF(OR(D25="",G25=""),0,MOD(G25-D25,1)-(F25-E25))</f>
        <v/>
      </c>
      <c r="I25" s="12" t="n"/>
      <c r="J25" s="13">
        <f>TRIM(IF(ROUND(H25*1440,0)&gt;600,"Plus de 10 h ","")&amp;IF(AND(ROUND(H25*1440,0)&gt;=360,ROUND((F25-E25)*1440,0)&lt;20),"Pause &lt; 20 min ","")&amp;IF(IF(AND(G24&lt;&gt;"",D25&lt;&gt;""),ROUND((1+D25-G24)*1440,0)&lt;660,FALSE),"Repos &lt; 11 h",""))</f>
        <v/>
      </c>
    </row>
    <row r="26" ht="14" customHeight="1">
      <c r="B26" s="14">
        <f>Paramètres!$C$8+19</f>
        <v/>
      </c>
      <c r="C26" s="15">
        <f>CHOOSE(WEEKDAY(B26,2),"Lun","Mar","Mer","Jeu","Ven","Sam","Dim")</f>
        <v/>
      </c>
      <c r="D26" s="16" t="n"/>
      <c r="E26" s="16" t="n"/>
      <c r="F26" s="16" t="n"/>
      <c r="G26" s="16" t="n"/>
      <c r="H26" s="17">
        <f>IF(OR(D26="",G26=""),0,MOD(G26-D26,1)-(F26-E26))</f>
        <v/>
      </c>
      <c r="I26" s="18" t="n"/>
      <c r="J26" s="19">
        <f>TRIM(IF(ROUND(H26*1440,0)&gt;600,"Plus de 10 h ","")&amp;IF(AND(ROUND(H26*1440,0)&gt;=360,ROUND((F26-E26)*1440,0)&lt;20),"Pause &lt; 20 min ","")&amp;IF(IF(AND(G25&lt;&gt;"",D26&lt;&gt;""),ROUND((1+D26-G25)*1440,0)&lt;660,FALSE),"Repos &lt; 11 h",""))</f>
        <v/>
      </c>
    </row>
    <row r="27" ht="14" customHeight="1">
      <c r="B27" s="14">
        <f>Paramètres!$C$8+20</f>
        <v/>
      </c>
      <c r="C27" s="15">
        <f>CHOOSE(WEEKDAY(B27,2),"Lun","Mar","Mer","Jeu","Ven","Sam","Dim")</f>
        <v/>
      </c>
      <c r="D27" s="16" t="n"/>
      <c r="E27" s="16" t="n"/>
      <c r="F27" s="16" t="n"/>
      <c r="G27" s="16" t="n"/>
      <c r="H27" s="17">
        <f>IF(OR(D27="",G27=""),0,MOD(G27-D27,1)-(F27-E27))</f>
        <v/>
      </c>
      <c r="I27" s="18" t="n"/>
      <c r="J27" s="19">
        <f>TRIM(IF(ROUND(H27*1440,0)&gt;600,"Plus de 10 h ","")&amp;IF(AND(ROUND(H27*1440,0)&gt;=360,ROUND((F27-E27)*1440,0)&lt;20),"Pause &lt; 20 min ","")&amp;IF(IF(AND(G26&lt;&gt;"",D27&lt;&gt;""),ROUND((1+D27-G26)*1440,0)&lt;660,FALSE),"Repos &lt; 11 h",""))</f>
        <v/>
      </c>
    </row>
    <row r="28" ht="14" customHeight="1">
      <c r="B28" s="20">
        <f>Paramètres!$C$8+21</f>
        <v/>
      </c>
      <c r="C28" s="21">
        <f>CHOOSE(WEEKDAY(B28,2),"Lun","Mar","Mer","Jeu","Ven","Sam","Dim")</f>
        <v/>
      </c>
      <c r="D28" s="22" t="n">
        <v>0.3333333333333333</v>
      </c>
      <c r="E28" s="22" t="n">
        <v>0.4583333333333333</v>
      </c>
      <c r="F28" s="22" t="n">
        <v>0.46875</v>
      </c>
      <c r="G28" s="22" t="n">
        <v>0.6875</v>
      </c>
      <c r="H28" s="23">
        <f>IF(OR(D28="",G28=""),0,MOD(G28-D28,1)-(F28-E28))</f>
        <v/>
      </c>
      <c r="I28" s="24" t="n"/>
      <c r="J28" s="25">
        <f>TRIM(IF(ROUND(H28*1440,0)&gt;600,"Plus de 10 h ","")&amp;IF(AND(ROUND(H28*1440,0)&gt;=360,ROUND((F28-E28)*1440,0)&lt;20),"Pause &lt; 20 min ","")&amp;IF(IF(AND(G27&lt;&gt;"",D28&lt;&gt;""),ROUND((1+D28-G27)*1440,0)&lt;660,FALSE),"Repos &lt; 11 h",""))</f>
        <v/>
      </c>
    </row>
    <row r="29" ht="14" customHeight="1">
      <c r="B29" s="8">
        <f>Paramètres!$C$8+22</f>
        <v/>
      </c>
      <c r="C29" s="9">
        <f>CHOOSE(WEEKDAY(B29,2),"Lun","Mar","Mer","Jeu","Ven","Sam","Dim")</f>
        <v/>
      </c>
      <c r="D29" s="10" t="n">
        <v>0.4166666666666667</v>
      </c>
      <c r="E29" s="10" t="n">
        <v>0.5416666666666666</v>
      </c>
      <c r="F29" s="10" t="n">
        <v>0.5833333333333334</v>
      </c>
      <c r="G29" s="10" t="n">
        <v>0.875</v>
      </c>
      <c r="H29" s="11">
        <f>IF(OR(D29="",G29=""),0,MOD(G29-D29,1)-(F29-E29))</f>
        <v/>
      </c>
      <c r="I29" s="12" t="n"/>
      <c r="J29" s="13">
        <f>TRIM(IF(ROUND(H29*1440,0)&gt;600,"Plus de 10 h ","")&amp;IF(AND(ROUND(H29*1440,0)&gt;=360,ROUND((F29-E29)*1440,0)&lt;20),"Pause &lt; 20 min ","")&amp;IF(IF(AND(G28&lt;&gt;"",D29&lt;&gt;""),ROUND((1+D29-G28)*1440,0)&lt;660,FALSE),"Repos &lt; 11 h",""))</f>
        <v/>
      </c>
    </row>
    <row r="30" ht="14" customHeight="1">
      <c r="B30" s="8">
        <f>Paramètres!$C$8+23</f>
        <v/>
      </c>
      <c r="C30" s="9">
        <f>CHOOSE(WEEKDAY(B30,2),"Lun","Mar","Mer","Jeu","Ven","Sam","Dim")</f>
        <v/>
      </c>
      <c r="D30" s="10" t="n">
        <v>0.3125</v>
      </c>
      <c r="E30" s="10" t="n">
        <v>0.5</v>
      </c>
      <c r="F30" s="10" t="n">
        <v>0.5416666666666666</v>
      </c>
      <c r="G30" s="10" t="n">
        <v>0.6666666666666666</v>
      </c>
      <c r="H30" s="11">
        <f>IF(OR(D30="",G30=""),0,MOD(G30-D30,1)-(F30-E30))</f>
        <v/>
      </c>
      <c r="I30" s="12" t="n"/>
      <c r="J30" s="13">
        <f>TRIM(IF(ROUND(H30*1440,0)&gt;600,"Plus de 10 h ","")&amp;IF(AND(ROUND(H30*1440,0)&gt;=360,ROUND((F30-E30)*1440,0)&lt;20),"Pause &lt; 20 min ","")&amp;IF(IF(AND(G29&lt;&gt;"",D30&lt;&gt;""),ROUND((1+D30-G29)*1440,0)&lt;660,FALSE),"Repos &lt; 11 h",""))</f>
        <v/>
      </c>
    </row>
    <row r="31" ht="14" customHeight="1">
      <c r="B31" s="8">
        <f>Paramètres!$C$8+24</f>
        <v/>
      </c>
      <c r="C31" s="9">
        <f>CHOOSE(WEEKDAY(B31,2),"Lun","Mar","Mer","Jeu","Ven","Sam","Dim")</f>
        <v/>
      </c>
      <c r="D31" s="10" t="n">
        <v>0.3333333333333333</v>
      </c>
      <c r="E31" s="10" t="n">
        <v>0.5</v>
      </c>
      <c r="F31" s="10" t="n">
        <v>0.5416666666666666</v>
      </c>
      <c r="G31" s="10" t="n">
        <v>0.7083333333333334</v>
      </c>
      <c r="H31" s="11">
        <f>IF(OR(D31="",G31=""),0,MOD(G31-D31,1)-(F31-E31))</f>
        <v/>
      </c>
      <c r="I31" s="12" t="n"/>
      <c r="J31" s="13">
        <f>TRIM(IF(ROUND(H31*1440,0)&gt;600,"Plus de 10 h ","")&amp;IF(AND(ROUND(H31*1440,0)&gt;=360,ROUND((F31-E31)*1440,0)&lt;20),"Pause &lt; 20 min ","")&amp;IF(IF(AND(G30&lt;&gt;"",D31&lt;&gt;""),ROUND((1+D31-G30)*1440,0)&lt;660,FALSE),"Repos &lt; 11 h",""))</f>
        <v/>
      </c>
    </row>
    <row r="32" ht="14" customHeight="1">
      <c r="B32" s="8">
        <f>Paramètres!$C$8+25</f>
        <v/>
      </c>
      <c r="C32" s="9">
        <f>CHOOSE(WEEKDAY(B32,2),"Lun","Mar","Mer","Jeu","Ven","Sam","Dim")</f>
        <v/>
      </c>
      <c r="D32" s="10" t="n">
        <v>0.3333333333333333</v>
      </c>
      <c r="E32" s="10" t="n">
        <v>0.5</v>
      </c>
      <c r="F32" s="10" t="n">
        <v>0.5416666666666666</v>
      </c>
      <c r="G32" s="10" t="n">
        <v>0.6666666666666666</v>
      </c>
      <c r="H32" s="11">
        <f>IF(OR(D32="",G32=""),0,MOD(G32-D32,1)-(F32-E32))</f>
        <v/>
      </c>
      <c r="I32" s="12" t="n"/>
      <c r="J32" s="13">
        <f>TRIM(IF(ROUND(H32*1440,0)&gt;600,"Plus de 10 h ","")&amp;IF(AND(ROUND(H32*1440,0)&gt;=360,ROUND((F32-E32)*1440,0)&lt;20),"Pause &lt; 20 min ","")&amp;IF(IF(AND(G31&lt;&gt;"",D32&lt;&gt;""),ROUND((1+D32-G31)*1440,0)&lt;660,FALSE),"Repos &lt; 11 h",""))</f>
        <v/>
      </c>
    </row>
    <row r="33" ht="14" customHeight="1">
      <c r="B33" s="14">
        <f>Paramètres!$C$8+26</f>
        <v/>
      </c>
      <c r="C33" s="15">
        <f>CHOOSE(WEEKDAY(B33,2),"Lun","Mar","Mer","Jeu","Ven","Sam","Dim")</f>
        <v/>
      </c>
      <c r="D33" s="16" t="n"/>
      <c r="E33" s="16" t="n"/>
      <c r="F33" s="16" t="n"/>
      <c r="G33" s="16" t="n"/>
      <c r="H33" s="17">
        <f>IF(OR(D33="",G33=""),0,MOD(G33-D33,1)-(F33-E33))</f>
        <v/>
      </c>
      <c r="I33" s="18" t="n"/>
      <c r="J33" s="19">
        <f>TRIM(IF(ROUND(H33*1440,0)&gt;600,"Plus de 10 h ","")&amp;IF(AND(ROUND(H33*1440,0)&gt;=360,ROUND((F33-E33)*1440,0)&lt;20),"Pause &lt; 20 min ","")&amp;IF(IF(AND(G32&lt;&gt;"",D33&lt;&gt;""),ROUND((1+D33-G32)*1440,0)&lt;660,FALSE),"Repos &lt; 11 h",""))</f>
        <v/>
      </c>
    </row>
    <row r="34" ht="14" customHeight="1">
      <c r="B34" s="14">
        <f>Paramètres!$C$8+27</f>
        <v/>
      </c>
      <c r="C34" s="15">
        <f>CHOOSE(WEEKDAY(B34,2),"Lun","Mar","Mer","Jeu","Ven","Sam","Dim")</f>
        <v/>
      </c>
      <c r="D34" s="16" t="n"/>
      <c r="E34" s="16" t="n"/>
      <c r="F34" s="16" t="n"/>
      <c r="G34" s="16" t="n"/>
      <c r="H34" s="17">
        <f>IF(OR(D34="",G34=""),0,MOD(G34-D34,1)-(F34-E34))</f>
        <v/>
      </c>
      <c r="I34" s="18" t="n"/>
      <c r="J34" s="19">
        <f>TRIM(IF(ROUND(H34*1440,0)&gt;600,"Plus de 10 h ","")&amp;IF(AND(ROUND(H34*1440,0)&gt;=360,ROUND((F34-E34)*1440,0)&lt;20),"Pause &lt; 20 min ","")&amp;IF(IF(AND(G33&lt;&gt;"",D34&lt;&gt;""),ROUND((1+D34-G33)*1440,0)&lt;660,FALSE),"Repos &lt; 11 h",""))</f>
        <v/>
      </c>
    </row>
    <row r="35" ht="14" customHeight="1">
      <c r="B35" s="20">
        <f>Paramètres!$C$8+28</f>
        <v/>
      </c>
      <c r="C35" s="21">
        <f>CHOOSE(WEEKDAY(B35,2),"Lun","Mar","Mer","Jeu","Ven","Sam","Dim")</f>
        <v/>
      </c>
      <c r="D35" s="22" t="n"/>
      <c r="E35" s="22" t="n"/>
      <c r="F35" s="22" t="n"/>
      <c r="G35" s="22" t="n"/>
      <c r="H35" s="23">
        <f>IF(OR(D35="",G35=""),0,MOD(G35-D35,1)-(F35-E35))</f>
        <v/>
      </c>
      <c r="I35" s="24" t="inlineStr">
        <is>
          <t>MAL</t>
        </is>
      </c>
      <c r="J35" s="25">
        <f>TRIM(IF(ROUND(H35*1440,0)&gt;600,"Plus de 10 h ","")&amp;IF(AND(ROUND(H35*1440,0)&gt;=360,ROUND((F35-E35)*1440,0)&lt;20),"Pause &lt; 20 min ","")&amp;IF(IF(AND(G34&lt;&gt;"",D35&lt;&gt;""),ROUND((1+D35-G34)*1440,0)&lt;660,FALSE),"Repos &lt; 11 h",""))</f>
        <v/>
      </c>
    </row>
    <row r="36" ht="14" customHeight="1">
      <c r="B36" s="8">
        <f>Paramètres!$C$8+29</f>
        <v/>
      </c>
      <c r="C36" s="9">
        <f>CHOOSE(WEEKDAY(B36,2),"Lun","Mar","Mer","Jeu","Ven","Sam","Dim")</f>
        <v/>
      </c>
      <c r="D36" s="10" t="n">
        <v>0.3333333333333333</v>
      </c>
      <c r="E36" s="10" t="n">
        <v>0.5</v>
      </c>
      <c r="F36" s="10" t="n">
        <v>0.5416666666666666</v>
      </c>
      <c r="G36" s="10" t="n">
        <v>0.6666666666666666</v>
      </c>
      <c r="H36" s="11">
        <f>IF(OR(D36="",G36=""),0,MOD(G36-D36,1)-(F36-E36))</f>
        <v/>
      </c>
      <c r="I36" s="12" t="n"/>
      <c r="J36" s="13">
        <f>TRIM(IF(ROUND(H36*1440,0)&gt;600,"Plus de 10 h ","")&amp;IF(AND(ROUND(H36*1440,0)&gt;=360,ROUND((F36-E36)*1440,0)&lt;20),"Pause &lt; 20 min ","")&amp;IF(IF(AND(G35&lt;&gt;"",D36&lt;&gt;""),ROUND((1+D36-G35)*1440,0)&lt;660,FALSE),"Repos &lt; 11 h",""))</f>
        <v/>
      </c>
    </row>
    <row r="37" ht="14" customHeight="1">
      <c r="B37" s="8">
        <f>Paramètres!$C$8+30</f>
        <v/>
      </c>
      <c r="C37" s="9">
        <f>CHOOSE(WEEKDAY(B37,2),"Lun","Mar","Mer","Jeu","Ven","Sam","Dim")</f>
        <v/>
      </c>
      <c r="D37" s="10" t="n">
        <v>0.3333333333333333</v>
      </c>
      <c r="E37" s="10" t="n">
        <v>0.5</v>
      </c>
      <c r="F37" s="10" t="n">
        <v>0.5416666666666666</v>
      </c>
      <c r="G37" s="10" t="n">
        <v>0.6666666666666666</v>
      </c>
      <c r="H37" s="11">
        <f>IF(OR(D37="",G37=""),0,MOD(G37-D37,1)-(F37-E37))</f>
        <v/>
      </c>
      <c r="I37" s="12" t="n"/>
      <c r="J37" s="13">
        <f>TRIM(IF(ROUND(H37*1440,0)&gt;600,"Plus de 10 h ","")&amp;IF(AND(ROUND(H37*1440,0)&gt;=360,ROUND((F37-E37)*1440,0)&lt;20),"Pause &lt; 20 min ","")&amp;IF(IF(AND(G36&lt;&gt;"",D37&lt;&gt;""),ROUND((1+D37-G36)*1440,0)&lt;660,FALSE),"Repos &lt; 11 h",""))</f>
        <v/>
      </c>
    </row>
    <row r="38" ht="14" customHeight="1">
      <c r="B38" s="8">
        <f>Paramètres!$C$8+31</f>
        <v/>
      </c>
      <c r="C38" s="9">
        <f>CHOOSE(WEEKDAY(B38,2),"Lun","Mar","Mer","Jeu","Ven","Sam","Dim")</f>
        <v/>
      </c>
      <c r="D38" s="10" t="n">
        <v>0.3333333333333333</v>
      </c>
      <c r="E38" s="10" t="n">
        <v>0.5</v>
      </c>
      <c r="F38" s="10" t="n">
        <v>0.5416666666666666</v>
      </c>
      <c r="G38" s="10" t="n">
        <v>0.6666666666666666</v>
      </c>
      <c r="H38" s="11">
        <f>IF(OR(D38="",G38=""),0,MOD(G38-D38,1)-(F38-E38))</f>
        <v/>
      </c>
      <c r="I38" s="12" t="n"/>
      <c r="J38" s="13">
        <f>TRIM(IF(ROUND(H38*1440,0)&gt;600,"Plus de 10 h ","")&amp;IF(AND(ROUND(H38*1440,0)&gt;=360,ROUND((F38-E38)*1440,0)&lt;20),"Pause &lt; 20 min ","")&amp;IF(IF(AND(G37&lt;&gt;"",D38&lt;&gt;""),ROUND((1+D38-G37)*1440,0)&lt;660,FALSE),"Repos &lt; 11 h",""))</f>
        <v/>
      </c>
    </row>
    <row r="39" ht="14" customHeight="1">
      <c r="B39" s="8">
        <f>Paramètres!$C$8+32</f>
        <v/>
      </c>
      <c r="C39" s="9">
        <f>CHOOSE(WEEKDAY(B39,2),"Lun","Mar","Mer","Jeu","Ven","Sam","Dim")</f>
        <v/>
      </c>
      <c r="D39" s="10" t="n">
        <v>0.3333333333333333</v>
      </c>
      <c r="E39" s="10" t="n">
        <v>0.5</v>
      </c>
      <c r="F39" s="10" t="n">
        <v>0.5416666666666666</v>
      </c>
      <c r="G39" s="10" t="n">
        <v>0.6666666666666666</v>
      </c>
      <c r="H39" s="11">
        <f>IF(OR(D39="",G39=""),0,MOD(G39-D39,1)-(F39-E39))</f>
        <v/>
      </c>
      <c r="I39" s="12" t="n"/>
      <c r="J39" s="13">
        <f>TRIM(IF(ROUND(H39*1440,0)&gt;600,"Plus de 10 h ","")&amp;IF(AND(ROUND(H39*1440,0)&gt;=360,ROUND((F39-E39)*1440,0)&lt;20),"Pause &lt; 20 min ","")&amp;IF(IF(AND(G38&lt;&gt;"",D39&lt;&gt;""),ROUND((1+D39-G38)*1440,0)&lt;660,FALSE),"Repos &lt; 11 h",""))</f>
        <v/>
      </c>
    </row>
    <row r="40" ht="14" customHeight="1">
      <c r="B40" s="14">
        <f>Paramètres!$C$8+33</f>
        <v/>
      </c>
      <c r="C40" s="15">
        <f>CHOOSE(WEEKDAY(B40,2),"Lun","Mar","Mer","Jeu","Ven","Sam","Dim")</f>
        <v/>
      </c>
      <c r="D40" s="16" t="n"/>
      <c r="E40" s="16" t="n"/>
      <c r="F40" s="16" t="n"/>
      <c r="G40" s="16" t="n"/>
      <c r="H40" s="17">
        <f>IF(OR(D40="",G40=""),0,MOD(G40-D40,1)-(F40-E40))</f>
        <v/>
      </c>
      <c r="I40" s="18" t="n"/>
      <c r="J40" s="19">
        <f>TRIM(IF(ROUND(H40*1440,0)&gt;600,"Plus de 10 h ","")&amp;IF(AND(ROUND(H40*1440,0)&gt;=360,ROUND((F40-E40)*1440,0)&lt;20),"Pause &lt; 20 min ","")&amp;IF(IF(AND(G39&lt;&gt;"",D40&lt;&gt;""),ROUND((1+D40-G39)*1440,0)&lt;660,FALSE),"Repos &lt; 11 h",""))</f>
        <v/>
      </c>
    </row>
    <row r="41" ht="14" customHeight="1">
      <c r="B41" s="14">
        <f>Paramètres!$C$8+34</f>
        <v/>
      </c>
      <c r="C41" s="15">
        <f>CHOOSE(WEEKDAY(B41,2),"Lun","Mar","Mer","Jeu","Ven","Sam","Dim")</f>
        <v/>
      </c>
      <c r="D41" s="16" t="n"/>
      <c r="E41" s="16" t="n"/>
      <c r="F41" s="16" t="n"/>
      <c r="G41" s="16" t="n"/>
      <c r="H41" s="17">
        <f>IF(OR(D41="",G41=""),0,MOD(G41-D41,1)-(F41-E41))</f>
        <v/>
      </c>
      <c r="I41" s="18" t="n"/>
      <c r="J41" s="19">
        <f>TRIM(IF(ROUND(H41*1440,0)&gt;600,"Plus de 10 h ","")&amp;IF(AND(ROUND(H41*1440,0)&gt;=360,ROUND((F41-E41)*1440,0)&lt;20),"Pause &lt; 20 min ","")&amp;IF(IF(AND(G40&lt;&gt;"",D41&lt;&gt;""),ROUND((1+D41-G40)*1440,0)&lt;660,FALSE),"Repos &lt; 11 h",""))</f>
        <v/>
      </c>
    </row>
    <row r="42" ht="16" customHeight="1">
      <c r="B42" s="26" t="inlineStr">
        <is>
          <t>Total de la période</t>
        </is>
      </c>
      <c r="C42" s="27" t="n"/>
      <c r="D42" s="27" t="n"/>
      <c r="E42" s="27" t="n"/>
      <c r="F42" s="27" t="n"/>
      <c r="G42" s="27" t="n"/>
      <c r="H42" s="28">
        <f>SUM(H7:H41)</f>
        <v/>
      </c>
      <c r="I42" s="27" t="n"/>
      <c r="J42" s="27" t="n"/>
    </row>
    <row r="44">
      <c r="B44" s="29" t="inlineStr">
        <is>
          <t>RÉCAPITULATIF PAR SEMAINE</t>
        </is>
      </c>
    </row>
    <row r="45">
      <c r="B45" s="6" t="inlineStr">
        <is>
          <t>Semaine</t>
        </is>
      </c>
      <c r="C45" s="30" t="n"/>
      <c r="D45" s="30" t="n"/>
      <c r="E45" s="7" t="inlineStr">
        <is>
          <t>Heures</t>
        </is>
      </c>
      <c r="F45" s="7" t="inlineStr">
        <is>
          <t>Normales</t>
        </is>
      </c>
      <c r="G45" s="7" t="inlineStr">
        <is>
          <t>HS 1er taux</t>
        </is>
      </c>
      <c r="H45" s="7" t="inlineStr">
        <is>
          <t>HS 2nd taux</t>
        </is>
      </c>
      <c r="I45" s="7" t="inlineStr">
        <is>
          <t>Contrôle 48 h</t>
        </is>
      </c>
      <c r="J45" s="30" t="n"/>
    </row>
    <row r="46" ht="15" customHeight="1">
      <c r="B46" s="31">
        <f>"S"&amp;WEEKNUM(B7,21)&amp;" : du "&amp;DAY(B7)&amp;"/"&amp;MONTH(B7)&amp;" au "&amp;DAY(B13)&amp;"/"&amp;MONTH(B13)</f>
        <v/>
      </c>
      <c r="C46" s="32" t="n"/>
      <c r="D46" s="32" t="n"/>
      <c r="E46" s="11">
        <f>SUM(H7:H13)</f>
        <v/>
      </c>
      <c r="F46" s="33">
        <f>MIN(E46,Paramètres!$C$11/24)</f>
        <v/>
      </c>
      <c r="G46" s="34">
        <f>MIN(MAX(E46-Paramètres!$C$11/24,0),Paramètres!$C$12/24)</f>
        <v/>
      </c>
      <c r="H46" s="34">
        <f>MAX(E46-Paramètres!$C$11/24-Paramètres!$C$12/24,0)</f>
        <v/>
      </c>
      <c r="I46" s="35">
        <f>IF(ROUND(E46*1440,0)&gt;2880,"Plus de 48 h","OK")</f>
        <v/>
      </c>
      <c r="J46" s="32" t="n"/>
    </row>
    <row r="47" ht="15" customHeight="1">
      <c r="B47" s="31">
        <f>"S"&amp;WEEKNUM(B14,21)&amp;" : du "&amp;DAY(B14)&amp;"/"&amp;MONTH(B14)&amp;" au "&amp;DAY(B20)&amp;"/"&amp;MONTH(B20)</f>
        <v/>
      </c>
      <c r="C47" s="32" t="n"/>
      <c r="D47" s="32" t="n"/>
      <c r="E47" s="11">
        <f>SUM(H14:H20)</f>
        <v/>
      </c>
      <c r="F47" s="33">
        <f>MIN(E47,Paramètres!$C$11/24)</f>
        <v/>
      </c>
      <c r="G47" s="34">
        <f>MIN(MAX(E47-Paramètres!$C$11/24,0),Paramètres!$C$12/24)</f>
        <v/>
      </c>
      <c r="H47" s="34">
        <f>MAX(E47-Paramètres!$C$11/24-Paramètres!$C$12/24,0)</f>
        <v/>
      </c>
      <c r="I47" s="35">
        <f>IF(ROUND(E47*1440,0)&gt;2880,"Plus de 48 h","OK")</f>
        <v/>
      </c>
      <c r="J47" s="32" t="n"/>
    </row>
    <row r="48" ht="15" customHeight="1">
      <c r="B48" s="31">
        <f>"S"&amp;WEEKNUM(B21,21)&amp;" : du "&amp;DAY(B21)&amp;"/"&amp;MONTH(B21)&amp;" au "&amp;DAY(B27)&amp;"/"&amp;MONTH(B27)</f>
        <v/>
      </c>
      <c r="C48" s="32" t="n"/>
      <c r="D48" s="32" t="n"/>
      <c r="E48" s="11">
        <f>SUM(H21:H27)</f>
        <v/>
      </c>
      <c r="F48" s="33">
        <f>MIN(E48,Paramètres!$C$11/24)</f>
        <v/>
      </c>
      <c r="G48" s="34">
        <f>MIN(MAX(E48-Paramètres!$C$11/24,0),Paramètres!$C$12/24)</f>
        <v/>
      </c>
      <c r="H48" s="34">
        <f>MAX(E48-Paramètres!$C$11/24-Paramètres!$C$12/24,0)</f>
        <v/>
      </c>
      <c r="I48" s="35">
        <f>IF(ROUND(E48*1440,0)&gt;2880,"Plus de 48 h","OK")</f>
        <v/>
      </c>
      <c r="J48" s="32" t="n"/>
    </row>
    <row r="49" ht="15" customHeight="1">
      <c r="B49" s="31">
        <f>"S"&amp;WEEKNUM(B28,21)&amp;" : du "&amp;DAY(B28)&amp;"/"&amp;MONTH(B28)&amp;" au "&amp;DAY(B34)&amp;"/"&amp;MONTH(B34)</f>
        <v/>
      </c>
      <c r="C49" s="32" t="n"/>
      <c r="D49" s="32" t="n"/>
      <c r="E49" s="11">
        <f>SUM(H28:H34)</f>
        <v/>
      </c>
      <c r="F49" s="33">
        <f>MIN(E49,Paramètres!$C$11/24)</f>
        <v/>
      </c>
      <c r="G49" s="34">
        <f>MIN(MAX(E49-Paramètres!$C$11/24,0),Paramètres!$C$12/24)</f>
        <v/>
      </c>
      <c r="H49" s="34">
        <f>MAX(E49-Paramètres!$C$11/24-Paramètres!$C$12/24,0)</f>
        <v/>
      </c>
      <c r="I49" s="35">
        <f>IF(ROUND(E49*1440,0)&gt;2880,"Plus de 48 h","OK")</f>
        <v/>
      </c>
      <c r="J49" s="32" t="n"/>
    </row>
    <row r="50" ht="15" customHeight="1">
      <c r="B50" s="31">
        <f>"S"&amp;WEEKNUM(B35,21)&amp;" : du "&amp;DAY(B35)&amp;"/"&amp;MONTH(B35)&amp;" au "&amp;DAY(B41)&amp;"/"&amp;MONTH(B41)</f>
        <v/>
      </c>
      <c r="C50" s="32" t="n"/>
      <c r="D50" s="32" t="n"/>
      <c r="E50" s="11">
        <f>SUM(H35:H41)</f>
        <v/>
      </c>
      <c r="F50" s="33">
        <f>MIN(E50,Paramètres!$C$11/24)</f>
        <v/>
      </c>
      <c r="G50" s="34">
        <f>MIN(MAX(E50-Paramètres!$C$11/24,0),Paramètres!$C$12/24)</f>
        <v/>
      </c>
      <c r="H50" s="34">
        <f>MAX(E50-Paramètres!$C$11/24-Paramètres!$C$12/24,0)</f>
        <v/>
      </c>
      <c r="I50" s="35">
        <f>IF(ROUND(E50*1440,0)&gt;2880,"Plus de 48 h","OK")</f>
        <v/>
      </c>
      <c r="J50" s="32" t="n"/>
    </row>
    <row r="52">
      <c r="B52" s="29" t="inlineStr">
        <is>
          <t>SYNTHÈSE DE LA PÉRIODE</t>
        </is>
      </c>
    </row>
    <row r="53" ht="16" customHeight="1">
      <c r="B53" s="31" t="inlineStr">
        <is>
          <t>Heures travaillées</t>
        </is>
      </c>
      <c r="C53" s="32" t="n"/>
      <c r="D53" s="32" t="n"/>
      <c r="E53" s="32" t="n"/>
      <c r="F53" s="36">
        <f>H42</f>
        <v/>
      </c>
      <c r="G53" s="31" t="inlineStr">
        <is>
          <t>Heures sup. cumulées dans l'année</t>
        </is>
      </c>
      <c r="H53" s="32" t="n"/>
      <c r="I53" s="32" t="n"/>
      <c r="J53" s="37">
        <f>Paramètres!$C$17+(SUM(G46:G50)+SUM(H46:H50))*24</f>
        <v/>
      </c>
    </row>
    <row r="54" ht="16" customHeight="1">
      <c r="B54" s="31" t="inlineStr">
        <is>
          <t>Heures supplémentaires au 1er taux</t>
        </is>
      </c>
      <c r="C54" s="32" t="n"/>
      <c r="D54" s="32" t="n"/>
      <c r="E54" s="32" t="n"/>
      <c r="F54" s="36">
        <f>SUM(G46:G50)</f>
        <v/>
      </c>
      <c r="G54" s="31" t="inlineStr">
        <is>
          <t>Reste sur le contingent annuel</t>
        </is>
      </c>
      <c r="H54" s="32" t="n"/>
      <c r="I54" s="32" t="n"/>
      <c r="J54" s="37">
        <f>Paramètres!$C$16-J53</f>
        <v/>
      </c>
    </row>
    <row r="55" ht="16" customHeight="1">
      <c r="B55" s="31" t="inlineStr">
        <is>
          <t>Heures supplémentaires au 2nd taux</t>
        </is>
      </c>
      <c r="C55" s="32" t="n"/>
      <c r="D55" s="32" t="n"/>
      <c r="E55" s="32" t="n"/>
      <c r="F55" s="36">
        <f>SUM(H46:H50)</f>
        <v/>
      </c>
      <c r="G55" s="31" t="inlineStr">
        <is>
          <t>Jours de congés payés (CP)</t>
        </is>
      </c>
      <c r="H55" s="32" t="n"/>
      <c r="I55" s="32" t="n"/>
      <c r="J55" s="38">
        <f>COUNTIF(I7:I41,"CP")</f>
        <v/>
      </c>
    </row>
    <row r="56" ht="16" customHeight="1">
      <c r="B56" s="31" t="inlineStr">
        <is>
          <t>Paiement estimé des heures sup. (brut)</t>
        </is>
      </c>
      <c r="C56" s="32" t="n"/>
      <c r="D56" s="32" t="n"/>
      <c r="E56" s="32" t="n"/>
      <c r="F56" s="39">
        <f>ROUND(SUM(G46:G50)*24*Paramètres!$C$15*(1+Paramètres!$C$13)+SUM(H46:H50)*24*Paramètres!$C$15*(1+Paramètres!$C$14),2)</f>
        <v/>
      </c>
      <c r="G56" s="31" t="inlineStr">
        <is>
          <t>Autres jours d'absence</t>
        </is>
      </c>
      <c r="H56" s="32" t="n"/>
      <c r="I56" s="32" t="n"/>
      <c r="J56" s="38">
        <f>COUNTA(I7:I41)-COUNTIF(I7:I41,"CP")</f>
        <v/>
      </c>
    </row>
    <row r="58">
      <c r="B58" s="40" t="inlineStr">
        <is>
          <t>SIGNATURE DU SALARIÉ</t>
        </is>
      </c>
      <c r="G58" s="40" t="inlineStr">
        <is>
          <t>VISA DE L'EMPLOYEUR</t>
        </is>
      </c>
    </row>
    <row r="59">
      <c r="B59" s="41" t="n"/>
      <c r="C59" s="41" t="n"/>
      <c r="D59" s="41" t="n"/>
      <c r="E59" s="41" t="n"/>
      <c r="G59" s="41" t="n"/>
      <c r="H59" s="41" t="n"/>
      <c r="I59" s="41" t="n"/>
      <c r="J59" s="41" t="n"/>
    </row>
    <row r="60">
      <c r="B60" s="41" t="n"/>
      <c r="C60" s="41" t="n"/>
      <c r="D60" s="41" t="n"/>
      <c r="E60" s="41" t="n"/>
      <c r="G60" s="41" t="n"/>
      <c r="H60" s="41" t="n"/>
      <c r="I60" s="41" t="n"/>
      <c r="J60" s="41" t="n"/>
    </row>
    <row r="61">
      <c r="B61" s="41" t="n"/>
      <c r="C61" s="41" t="n"/>
      <c r="D61" s="41" t="n"/>
      <c r="E61" s="41" t="n"/>
      <c r="G61" s="41" t="n"/>
      <c r="H61" s="41" t="n"/>
      <c r="I61" s="41" t="n"/>
      <c r="J61" s="41" t="n"/>
    </row>
    <row r="63">
      <c r="B63" s="42" t="inlineStr">
        <is>
          <t>Document à conserver un an. Modèle gratuit Digitiz · digitiz.fr/modeles/feuille-de-pointage/</t>
        </is>
      </c>
    </row>
  </sheetData>
  <mergeCells count="28">
    <mergeCell ref="I46:J46"/>
    <mergeCell ref="G53:I53"/>
    <mergeCell ref="B3:F3"/>
    <mergeCell ref="I49:J49"/>
    <mergeCell ref="I45:J45"/>
    <mergeCell ref="B55:E55"/>
    <mergeCell ref="G59:J61"/>
    <mergeCell ref="I47:J47"/>
    <mergeCell ref="B2:F2"/>
    <mergeCell ref="B49:D49"/>
    <mergeCell ref="B54:E54"/>
    <mergeCell ref="G55:I55"/>
    <mergeCell ref="G2:J2"/>
    <mergeCell ref="B59:E61"/>
    <mergeCell ref="G54:I54"/>
    <mergeCell ref="B56:E56"/>
    <mergeCell ref="B45:D45"/>
    <mergeCell ref="B50:D50"/>
    <mergeCell ref="B63:J63"/>
    <mergeCell ref="B4:J4"/>
    <mergeCell ref="G56:I56"/>
    <mergeCell ref="I48:J48"/>
    <mergeCell ref="B47:D47"/>
    <mergeCell ref="G3:J3"/>
    <mergeCell ref="B53:E53"/>
    <mergeCell ref="B46:D46"/>
    <mergeCell ref="I50:J50"/>
    <mergeCell ref="B48:D48"/>
  </mergeCells>
  <conditionalFormatting sqref="I46:I50">
    <cfRule type="expression" priority="1" dxfId="0">
      <formula>I46&lt;&gt;"OK"</formula>
    </cfRule>
  </conditionalFormatting>
  <dataValidations count="1">
    <dataValidation sqref="I7:I41" showDropDown="0" showInputMessage="0" showErrorMessage="0" allowBlank="1" type="list">
      <formula1>=Paramètres!$E$5:$E$10</formula1>
    </dataValidation>
  </dataValidations>
  <printOptions horizontalCentered="1"/>
  <pageMargins left="0.5" right="0.5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30" customWidth="1" min="3" max="3"/>
    <col width="3" customWidth="1" min="4" max="4"/>
    <col width="10" customWidth="1" min="5" max="5"/>
    <col width="30" customWidth="1" min="6" max="6"/>
  </cols>
  <sheetData>
    <row r="2">
      <c r="B2" s="43" t="inlineStr">
        <is>
          <t>Paramètres de la feuille de pointage</t>
        </is>
      </c>
    </row>
    <row r="4">
      <c r="B4" s="44" t="inlineStr">
        <is>
          <t>Le salarié et la période</t>
        </is>
      </c>
      <c r="C4" s="44" t="n"/>
      <c r="E4" s="44" t="inlineStr">
        <is>
          <t>Code</t>
        </is>
      </c>
      <c r="F4" s="44" t="inlineStr">
        <is>
          <t>Absence</t>
        </is>
      </c>
    </row>
    <row r="5">
      <c r="B5" s="45" t="inlineStr">
        <is>
          <t>Entreprise</t>
        </is>
      </c>
      <c r="C5" s="46" t="inlineStr">
        <is>
          <t>Atelier Numérique, 69001 Lyon · SIRET 123 456 789 00012</t>
        </is>
      </c>
      <c r="E5" s="46" t="inlineStr">
        <is>
          <t>CP</t>
        </is>
      </c>
      <c r="F5" s="45" t="inlineStr">
        <is>
          <t>Congés payés</t>
        </is>
      </c>
    </row>
    <row r="6">
      <c r="B6" s="45" t="inlineStr">
        <is>
          <t>Salarié</t>
        </is>
      </c>
      <c r="C6" s="46" t="inlineStr">
        <is>
          <t>Lucas Bernard</t>
        </is>
      </c>
      <c r="E6" s="46" t="inlineStr">
        <is>
          <t>RTT</t>
        </is>
      </c>
      <c r="F6" s="45" t="inlineStr">
        <is>
          <t>Jour de repos RTT</t>
        </is>
      </c>
    </row>
    <row r="7">
      <c r="B7" s="45" t="inlineStr">
        <is>
          <t>Poste</t>
        </is>
      </c>
      <c r="C7" s="46" t="inlineStr">
        <is>
          <t>Technicien de maintenance</t>
        </is>
      </c>
      <c r="E7" s="46" t="inlineStr">
        <is>
          <t>MAL</t>
        </is>
      </c>
      <c r="F7" s="45" t="inlineStr">
        <is>
          <t>Maladie</t>
        </is>
      </c>
    </row>
    <row r="8">
      <c r="B8" s="45" t="inlineStr">
        <is>
          <t>Premier lundi de la période</t>
        </is>
      </c>
      <c r="C8" s="47" t="n">
        <v>46272</v>
      </c>
      <c r="E8" s="46" t="inlineStr">
        <is>
          <t>FER</t>
        </is>
      </c>
      <c r="F8" s="45" t="inlineStr">
        <is>
          <t>Jour férié chômé</t>
        </is>
      </c>
    </row>
    <row r="9">
      <c r="E9" s="46" t="inlineStr">
        <is>
          <t>FOR</t>
        </is>
      </c>
      <c r="F9" s="45" t="inlineStr">
        <is>
          <t>Formation hors site</t>
        </is>
      </c>
    </row>
    <row r="10">
      <c r="B10" s="44" t="inlineStr">
        <is>
          <t>Durée du travail et heures supplémentaires</t>
        </is>
      </c>
      <c r="C10" s="44" t="n"/>
      <c r="E10" s="46" t="inlineStr">
        <is>
          <t>ABS</t>
        </is>
      </c>
      <c r="F10" s="45" t="inlineStr">
        <is>
          <t>Autre absence</t>
        </is>
      </c>
    </row>
    <row r="11">
      <c r="B11" s="45" t="inlineStr">
        <is>
          <t>Durée hebdomadaire de référence (h)</t>
        </is>
      </c>
      <c r="C11" s="48" t="n">
        <v>35</v>
      </c>
    </row>
    <row r="12">
      <c r="B12" s="45" t="inlineStr">
        <is>
          <t>Heures supplémentaires au premier taux (h par semaine)</t>
        </is>
      </c>
      <c r="C12" s="48" t="n">
        <v>8</v>
      </c>
    </row>
    <row r="13">
      <c r="B13" s="45" t="inlineStr">
        <is>
          <t>Majoration premier taux</t>
        </is>
      </c>
      <c r="C13" s="49" t="n">
        <v>0.25</v>
      </c>
    </row>
    <row r="14">
      <c r="B14" s="45" t="inlineStr">
        <is>
          <t>Majoration second taux</t>
        </is>
      </c>
      <c r="C14" s="49" t="n">
        <v>0.5</v>
      </c>
    </row>
    <row r="15">
      <c r="B15" s="45" t="inlineStr">
        <is>
          <t>Taux horaire brut</t>
        </is>
      </c>
      <c r="C15" s="50" t="n">
        <v>13.5</v>
      </c>
    </row>
    <row r="16">
      <c r="B16" s="45" t="inlineStr">
        <is>
          <t>Contingent annuel d'heures supplémentaires (h)</t>
        </is>
      </c>
      <c r="C16" s="51" t="n">
        <v>220</v>
      </c>
    </row>
    <row r="17">
      <c r="B17" s="45" t="inlineStr">
        <is>
          <t>Heures supplémentaires déjà faites dans l'année (h)</t>
        </is>
      </c>
      <c r="C17" s="48" t="n">
        <v>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43" t="inlineStr">
        <is>
          <t>Mode d'emploi de la feuille de pointage</t>
        </is>
      </c>
    </row>
    <row r="4">
      <c r="B4" s="52" t="inlineStr">
        <is>
          <t>1. Les réglages</t>
        </is>
      </c>
    </row>
    <row r="5" ht="60" customHeight="1">
      <c r="B5" s="53" t="inlineStr">
        <is>
          <t>Dans « Paramètres », indiquez le salarié, son poste et le premier lundi de la période : la feuille couvre cinq semaines complètes, du lundi au dimanche. Vérifiez la durée de référence (35 h), les majorations (25 % puis 50 % par défaut, un accord peut prévoir d'autres taux, 10 % au minimum), le taux horaire brut et le contingent annuel.</t>
        </is>
      </c>
    </row>
    <row r="7">
      <c r="B7" s="52" t="inlineStr">
        <is>
          <t>2. Le pointage</t>
        </is>
      </c>
    </row>
    <row r="8" ht="45" customHeight="1">
      <c r="B8" s="53" t="inlineStr">
        <is>
          <t>Chaque jour, saisissez l'heure d'arrivée, le début et la fin de la pause, puis l'heure de départ, au format 08:30. Sans pause, laissez les deux colonnes vides. Un départ après minuit est géré. Les heures travaillées se calculent seules.</t>
        </is>
      </c>
    </row>
    <row r="10">
      <c r="B10" s="52" t="inlineStr">
        <is>
          <t>3. Les absences</t>
        </is>
      </c>
    </row>
    <row r="11" ht="45" customHeight="1">
      <c r="B11" s="53" t="inlineStr">
        <is>
          <t>Pour un jour non travaillé, laissez les horaires vides et choisissez un code dans la colonne « Absence » (CP, RTT, MAL, FER, FOR, ABS). Ces jours ne comptent pas dans les heures travaillées, donc pas dans le seuil des heures supplémentaires.</t>
        </is>
      </c>
    </row>
    <row r="13">
      <c r="B13" s="52" t="inlineStr">
        <is>
          <t>4. Les contrôles</t>
        </is>
      </c>
    </row>
    <row r="14" ht="60" customHeight="1">
      <c r="B14" s="53" t="inlineStr">
        <is>
          <t>La colonne « Contrôle » signale une journée de plus de 10 heures, une pause de moins de 20 minutes pour 6 heures de travail et un repos de moins de 11 heures entre deux journées. Le récapitulatif signale une semaine de plus de 48 heures. Ce sont des repères : votre convention collective peut prévoir d'autres règles.</t>
        </is>
      </c>
    </row>
    <row r="16">
      <c r="B16" s="52" t="inlineStr">
        <is>
          <t>5. Les heures supplémentaires</t>
        </is>
      </c>
    </row>
    <row r="17" ht="45" customHeight="1">
      <c r="B17" s="53" t="inlineStr">
        <is>
          <t>Elles se calculent par semaine civile, au-delà de la durée de référence : les 8 premières au premier taux, les suivantes au second. Le paiement estimé multiplie ces heures par le taux horaire majoré. Le cumul annuel est comparé au contingent.</t>
        </is>
      </c>
    </row>
    <row r="19">
      <c r="B19" s="52" t="inlineStr">
        <is>
          <t>6. Conservation</t>
        </is>
      </c>
    </row>
    <row r="20" ht="30" customHeight="1">
      <c r="B20" s="53" t="inlineStr">
        <is>
          <t>Faites signer la feuille par le salarié et l'employeur chaque mois et conservez-la au moins un an : elle sert de preuve des heures effectuées.</t>
        </is>
      </c>
    </row>
    <row r="22">
      <c r="B22" s="52" t="inlineStr">
        <is>
          <t>Pour aller plus loin</t>
        </is>
      </c>
    </row>
    <row r="23" ht="15" customHeight="1">
      <c r="B23" s="53" t="inlineStr">
        <is>
          <t>Ce modèle est proposé gratuitement par Digitiz : https://digitiz.fr/modeles/feuille-de-pointage/</t>
        </is>
      </c>
    </row>
  </sheetData>
  <pageMargins left="0.75" right="0.75" top="1" bottom="1" header="0.5" footer="0.5"/>
</worksheet>
</file>